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125" windowHeight="12540"/>
  </bookViews>
  <sheets>
    <sheet name="2023年度来安县事业单位公开招聘工作人员拟聘用人员名单（第一" sheetId="1" r:id="rId1"/>
  </sheets>
  <definedNames>
    <definedName name="_xlnm.Print_Titles" localSheetId="0">'2023年度来安县事业单位公开招聘工作人员拟聘用人员名单（第一'!$2:$2</definedName>
  </definedNames>
  <calcPr calcId="144525"/>
</workbook>
</file>

<file path=xl/calcChain.xml><?xml version="1.0" encoding="utf-8"?>
<calcChain xmlns="http://schemas.openxmlformats.org/spreadsheetml/2006/main">
  <c r="L77" i="1"/>
  <c r="K77"/>
  <c r="J77"/>
  <c r="I77"/>
  <c r="H77"/>
  <c r="G77"/>
  <c r="F77"/>
  <c r="E77"/>
  <c r="K76"/>
  <c r="H76"/>
  <c r="G76"/>
  <c r="F76"/>
  <c r="E76"/>
  <c r="L75"/>
  <c r="K75"/>
  <c r="J75"/>
  <c r="I75"/>
  <c r="H75"/>
  <c r="G75"/>
  <c r="F75"/>
  <c r="E75"/>
  <c r="K74"/>
  <c r="J74"/>
  <c r="I74"/>
  <c r="H74"/>
  <c r="G74"/>
  <c r="F74"/>
  <c r="E74"/>
  <c r="K73"/>
  <c r="J73"/>
  <c r="I73"/>
  <c r="H73"/>
  <c r="G73"/>
  <c r="F73"/>
  <c r="E73"/>
  <c r="K72"/>
  <c r="J72"/>
  <c r="I72"/>
  <c r="H72"/>
  <c r="G72"/>
  <c r="F72"/>
  <c r="E72"/>
  <c r="K71"/>
  <c r="J71"/>
  <c r="I71"/>
  <c r="H71"/>
  <c r="G71"/>
  <c r="F71"/>
  <c r="E71"/>
  <c r="K70"/>
  <c r="J70"/>
  <c r="I70"/>
  <c r="H70"/>
  <c r="G70"/>
  <c r="F70"/>
  <c r="E70"/>
  <c r="K69"/>
  <c r="J69"/>
  <c r="I69"/>
  <c r="H69"/>
  <c r="G69"/>
  <c r="F69"/>
  <c r="E69"/>
  <c r="K68"/>
  <c r="J68"/>
  <c r="I68"/>
  <c r="H68"/>
  <c r="G68"/>
  <c r="F68"/>
  <c r="E68"/>
  <c r="K67"/>
  <c r="J67"/>
  <c r="I67"/>
  <c r="H67"/>
  <c r="G67"/>
  <c r="F67"/>
  <c r="E67"/>
  <c r="K66"/>
  <c r="J66"/>
  <c r="I66"/>
  <c r="H66"/>
  <c r="G66"/>
  <c r="F66"/>
  <c r="E66"/>
  <c r="K65"/>
  <c r="J65"/>
  <c r="I65"/>
  <c r="H65"/>
  <c r="G65"/>
  <c r="F65"/>
  <c r="E65"/>
  <c r="K64"/>
  <c r="J64"/>
  <c r="I64"/>
  <c r="H64"/>
  <c r="G64"/>
  <c r="F64"/>
  <c r="E64"/>
  <c r="K63"/>
  <c r="J63"/>
  <c r="I63"/>
  <c r="H63"/>
  <c r="G63"/>
  <c r="F63"/>
  <c r="E63"/>
  <c r="K62"/>
  <c r="J62"/>
  <c r="I62"/>
  <c r="H62"/>
  <c r="G62"/>
  <c r="F62"/>
  <c r="E62"/>
  <c r="K61"/>
  <c r="J61"/>
  <c r="I61"/>
  <c r="H61"/>
  <c r="G61"/>
  <c r="F61"/>
  <c r="E61"/>
  <c r="L60"/>
  <c r="K60"/>
  <c r="J60"/>
  <c r="I60"/>
  <c r="H60"/>
  <c r="G60"/>
  <c r="F60"/>
  <c r="E60"/>
  <c r="L59"/>
  <c r="K59"/>
  <c r="J59"/>
  <c r="I59"/>
  <c r="H59"/>
  <c r="G59"/>
  <c r="F59"/>
  <c r="E59"/>
  <c r="K58"/>
  <c r="J58"/>
  <c r="I58"/>
  <c r="H58"/>
  <c r="G58"/>
  <c r="F58"/>
  <c r="E58"/>
  <c r="K57"/>
  <c r="J57"/>
  <c r="I57"/>
  <c r="H57"/>
  <c r="G57"/>
  <c r="F57"/>
  <c r="E57"/>
  <c r="K56"/>
  <c r="J56"/>
  <c r="I56"/>
  <c r="H56"/>
  <c r="G56"/>
  <c r="F56"/>
  <c r="E56"/>
  <c r="K55"/>
  <c r="J55"/>
  <c r="I55"/>
  <c r="H55"/>
  <c r="G55"/>
  <c r="F55"/>
  <c r="E55"/>
  <c r="K54"/>
  <c r="J54"/>
  <c r="I54"/>
  <c r="H54"/>
  <c r="G54"/>
  <c r="F54"/>
  <c r="E54"/>
  <c r="K53"/>
  <c r="J53"/>
  <c r="I53"/>
  <c r="H53"/>
  <c r="G53"/>
  <c r="F53"/>
  <c r="E53"/>
  <c r="K52"/>
  <c r="J52"/>
  <c r="I52"/>
  <c r="H52"/>
  <c r="G52"/>
  <c r="F52"/>
  <c r="E52"/>
  <c r="L51"/>
  <c r="K51"/>
  <c r="J51"/>
  <c r="I51"/>
  <c r="H51"/>
  <c r="G51"/>
  <c r="F51"/>
  <c r="E51"/>
  <c r="L50"/>
  <c r="K50"/>
  <c r="J50"/>
  <c r="I50"/>
  <c r="H50"/>
  <c r="G50"/>
  <c r="F50"/>
  <c r="E50"/>
  <c r="L49"/>
  <c r="K49"/>
  <c r="J49"/>
  <c r="I49"/>
  <c r="H49"/>
  <c r="G49"/>
  <c r="F49"/>
  <c r="E49"/>
  <c r="L48"/>
  <c r="K48"/>
  <c r="J48"/>
  <c r="I48"/>
  <c r="H48"/>
  <c r="G48"/>
  <c r="F48"/>
  <c r="E48"/>
  <c r="L47"/>
  <c r="K47"/>
  <c r="J47"/>
  <c r="I47"/>
  <c r="H47"/>
  <c r="G47"/>
  <c r="F47"/>
  <c r="E47"/>
  <c r="L46"/>
  <c r="K46"/>
  <c r="J46"/>
  <c r="I46"/>
  <c r="H46"/>
  <c r="G46"/>
  <c r="F46"/>
  <c r="E46"/>
  <c r="L45"/>
  <c r="K45"/>
  <c r="J45"/>
  <c r="I45"/>
  <c r="H45"/>
  <c r="G45"/>
  <c r="F45"/>
  <c r="E45"/>
  <c r="L44"/>
  <c r="K44"/>
  <c r="J44"/>
  <c r="I44"/>
  <c r="H44"/>
  <c r="G44"/>
  <c r="F44"/>
  <c r="E44"/>
  <c r="L43"/>
  <c r="K43"/>
  <c r="J43"/>
  <c r="I43"/>
  <c r="H43"/>
  <c r="G43"/>
  <c r="F43"/>
  <c r="E43"/>
  <c r="L42"/>
  <c r="K42"/>
  <c r="J42"/>
  <c r="I42"/>
  <c r="H42"/>
  <c r="G42"/>
  <c r="F42"/>
  <c r="E42"/>
  <c r="L41"/>
  <c r="K41"/>
  <c r="J41"/>
  <c r="I41"/>
  <c r="H41"/>
  <c r="G41"/>
  <c r="F41"/>
  <c r="E41"/>
  <c r="L40"/>
  <c r="K40"/>
  <c r="J40"/>
  <c r="I40"/>
  <c r="H40"/>
  <c r="G40"/>
  <c r="F40"/>
  <c r="E40"/>
  <c r="L39"/>
  <c r="K39"/>
  <c r="J39"/>
  <c r="I39"/>
  <c r="H39"/>
  <c r="G39"/>
  <c r="F39"/>
  <c r="E39"/>
  <c r="L38"/>
  <c r="K38"/>
  <c r="J38"/>
  <c r="I38"/>
  <c r="H38"/>
  <c r="G38"/>
  <c r="F38"/>
  <c r="E38"/>
  <c r="K37"/>
  <c r="J37"/>
  <c r="I37"/>
  <c r="H37"/>
  <c r="G37"/>
  <c r="F37"/>
  <c r="E37"/>
  <c r="L36"/>
  <c r="K36"/>
  <c r="J36"/>
  <c r="I36"/>
  <c r="H36"/>
  <c r="G36"/>
  <c r="F36"/>
  <c r="E36"/>
  <c r="K35"/>
  <c r="J35"/>
  <c r="I35"/>
  <c r="H35"/>
  <c r="G35"/>
  <c r="F35"/>
  <c r="E35"/>
  <c r="L34"/>
  <c r="K34"/>
  <c r="J34"/>
  <c r="I34"/>
  <c r="H34"/>
  <c r="G34"/>
  <c r="F34"/>
  <c r="E34"/>
  <c r="K33"/>
  <c r="J33"/>
  <c r="I33"/>
  <c r="H33"/>
  <c r="G33"/>
  <c r="F33"/>
  <c r="E33"/>
  <c r="K32"/>
  <c r="J32"/>
  <c r="I32"/>
  <c r="H32"/>
  <c r="G32"/>
  <c r="F32"/>
  <c r="E32"/>
  <c r="L31"/>
  <c r="K31"/>
  <c r="J31"/>
  <c r="I31"/>
  <c r="H31"/>
  <c r="G31"/>
  <c r="F31"/>
  <c r="E31"/>
  <c r="L30"/>
  <c r="K30"/>
  <c r="J30"/>
  <c r="I30"/>
  <c r="H30"/>
  <c r="G30"/>
  <c r="F30"/>
  <c r="E30"/>
  <c r="L29"/>
  <c r="K29"/>
  <c r="J29"/>
  <c r="I29"/>
  <c r="H29"/>
  <c r="G29"/>
  <c r="F29"/>
  <c r="E29"/>
  <c r="K28"/>
  <c r="J28"/>
  <c r="I28"/>
  <c r="H28"/>
  <c r="G28"/>
  <c r="F28"/>
  <c r="E28"/>
  <c r="L27"/>
  <c r="K27"/>
  <c r="J27"/>
  <c r="I27"/>
  <c r="H27"/>
  <c r="G27"/>
  <c r="F27"/>
  <c r="E27"/>
  <c r="L26"/>
  <c r="K26"/>
  <c r="J26"/>
  <c r="I26"/>
  <c r="H26"/>
  <c r="G26"/>
  <c r="F26"/>
  <c r="E26"/>
  <c r="L25"/>
  <c r="K25"/>
  <c r="J25"/>
  <c r="I25"/>
  <c r="H25"/>
  <c r="G25"/>
  <c r="F25"/>
  <c r="E25"/>
  <c r="L24"/>
  <c r="K24"/>
  <c r="J24"/>
  <c r="I24"/>
  <c r="H24"/>
  <c r="G24"/>
  <c r="F24"/>
  <c r="E24"/>
  <c r="L23"/>
  <c r="K23"/>
  <c r="J23"/>
  <c r="I23"/>
  <c r="H23"/>
  <c r="G23"/>
  <c r="F23"/>
  <c r="E23"/>
  <c r="L22"/>
  <c r="K22"/>
  <c r="J22"/>
  <c r="I22"/>
  <c r="H22"/>
  <c r="G22"/>
  <c r="F22"/>
  <c r="E22"/>
  <c r="L21"/>
  <c r="K21"/>
  <c r="J21"/>
  <c r="I21"/>
  <c r="H21"/>
  <c r="G21"/>
  <c r="F21"/>
  <c r="E21"/>
  <c r="L20"/>
  <c r="K20"/>
  <c r="J20"/>
  <c r="I20"/>
  <c r="H20"/>
  <c r="G20"/>
  <c r="F20"/>
  <c r="E20"/>
  <c r="L19"/>
  <c r="K19"/>
  <c r="J19"/>
  <c r="I19"/>
  <c r="H19"/>
  <c r="G19"/>
  <c r="F19"/>
  <c r="E19"/>
  <c r="L18"/>
  <c r="K18"/>
  <c r="J18"/>
  <c r="I18"/>
  <c r="H18"/>
  <c r="G18"/>
  <c r="F18"/>
  <c r="E18"/>
  <c r="L17"/>
  <c r="K17"/>
  <c r="J17"/>
  <c r="I17"/>
  <c r="H17"/>
  <c r="G17"/>
  <c r="F17"/>
  <c r="E17"/>
  <c r="L16"/>
  <c r="K16"/>
  <c r="J16"/>
  <c r="I16"/>
  <c r="H16"/>
  <c r="G16"/>
  <c r="F16"/>
  <c r="E16"/>
  <c r="K15"/>
  <c r="J15"/>
  <c r="I15"/>
  <c r="H15"/>
  <c r="G15"/>
  <c r="F15"/>
  <c r="E15"/>
  <c r="K14"/>
  <c r="J14"/>
  <c r="I14"/>
  <c r="H14"/>
  <c r="G14"/>
  <c r="F14"/>
  <c r="E14"/>
  <c r="K13"/>
  <c r="J13"/>
  <c r="I13"/>
  <c r="H13"/>
  <c r="G13"/>
  <c r="F13"/>
  <c r="E13"/>
  <c r="K12"/>
  <c r="J12"/>
  <c r="I12"/>
  <c r="H12"/>
  <c r="G12"/>
  <c r="F12"/>
  <c r="E12"/>
  <c r="K11"/>
  <c r="J11"/>
  <c r="I11"/>
  <c r="H11"/>
  <c r="G11"/>
  <c r="F11"/>
  <c r="E11"/>
  <c r="L10"/>
  <c r="K10"/>
  <c r="J10"/>
  <c r="I10"/>
  <c r="H10"/>
  <c r="G10"/>
  <c r="F10"/>
  <c r="E10"/>
  <c r="L9"/>
  <c r="K9"/>
  <c r="J9"/>
  <c r="I9"/>
  <c r="H9"/>
  <c r="G9"/>
  <c r="F9"/>
  <c r="E9"/>
  <c r="L8"/>
  <c r="K8"/>
  <c r="J8"/>
  <c r="I8"/>
  <c r="H8"/>
  <c r="G8"/>
  <c r="F8"/>
  <c r="E8"/>
  <c r="L7"/>
  <c r="K7"/>
  <c r="J7"/>
  <c r="I7"/>
  <c r="H7"/>
  <c r="G7"/>
  <c r="F7"/>
  <c r="E7"/>
  <c r="L6"/>
  <c r="K6"/>
  <c r="J6"/>
  <c r="I6"/>
  <c r="H6"/>
  <c r="G6"/>
  <c r="F6"/>
  <c r="E6"/>
  <c r="L5"/>
  <c r="K5"/>
  <c r="J5"/>
  <c r="I5"/>
  <c r="H5"/>
  <c r="G5"/>
  <c r="F5"/>
  <c r="E5"/>
  <c r="L4"/>
  <c r="K4"/>
  <c r="J4"/>
  <c r="I4"/>
  <c r="H4"/>
  <c r="G4"/>
  <c r="F4"/>
  <c r="E4"/>
  <c r="L3"/>
  <c r="K3"/>
  <c r="J3"/>
  <c r="I3"/>
  <c r="H3"/>
  <c r="G3"/>
  <c r="F3"/>
  <c r="E3"/>
</calcChain>
</file>

<file path=xl/sharedStrings.xml><?xml version="1.0" encoding="utf-8"?>
<sst xmlns="http://schemas.openxmlformats.org/spreadsheetml/2006/main" count="173" uniqueCount="72">
  <si>
    <t>2023年度来安县事业单位公开招聘工作人员拟聘用人员名单（第一批）</t>
  </si>
  <si>
    <t>序号</t>
  </si>
  <si>
    <t>招聘单位</t>
  </si>
  <si>
    <t>岗位代码</t>
  </si>
  <si>
    <t>招聘岗位</t>
  </si>
  <si>
    <t>准考证号</t>
  </si>
  <si>
    <t>姓名</t>
  </si>
  <si>
    <t>出生年月</t>
  </si>
  <si>
    <t>性别</t>
  </si>
  <si>
    <t>所学专业</t>
  </si>
  <si>
    <t>毕业院校</t>
  </si>
  <si>
    <t>学历</t>
  </si>
  <si>
    <t>学位</t>
  </si>
  <si>
    <t>考试最终成绩</t>
  </si>
  <si>
    <t>备注</t>
  </si>
  <si>
    <t>来安县新闻中心</t>
  </si>
  <si>
    <t>专业技术</t>
  </si>
  <si>
    <t>来安县志愿服务促进中心</t>
  </si>
  <si>
    <t>管理</t>
  </si>
  <si>
    <t>来安县预算联网监督服务中心</t>
  </si>
  <si>
    <t>中共党员</t>
  </si>
  <si>
    <t>来安县红十字会</t>
  </si>
  <si>
    <t>来安县公共资源交易中心</t>
  </si>
  <si>
    <t>来安县水库移民管理所</t>
  </si>
  <si>
    <t>来安县为民服务中心</t>
  </si>
  <si>
    <t>来安县群众接待中心</t>
  </si>
  <si>
    <t>来安县儿童福利院</t>
  </si>
  <si>
    <t>来安县皖东烈士陵园管理所</t>
  </si>
  <si>
    <t>来安县招商服务中心</t>
  </si>
  <si>
    <t>来安县水产技术推广站</t>
  </si>
  <si>
    <t>来安县农村经济经营管理站</t>
  </si>
  <si>
    <t>来安县农业技术推广中心</t>
  </si>
  <si>
    <t>来安县农业综合行政执法大队</t>
  </si>
  <si>
    <t>来安县预算绩效评价中心</t>
  </si>
  <si>
    <t>乡镇财政所</t>
  </si>
  <si>
    <t>来安县城市管理行政综合执法大队</t>
  </si>
  <si>
    <t>来安县文化馆</t>
  </si>
  <si>
    <t>来安县科技创新服务中心</t>
  </si>
  <si>
    <t>来安县大数据服务中心</t>
  </si>
  <si>
    <t>来安县医疗保障基金管理中心</t>
  </si>
  <si>
    <t>来安县卫生健康综合监督执法大队</t>
  </si>
  <si>
    <t>来安县妇幼保健和计划生育服务中心</t>
  </si>
  <si>
    <t>来安县电商发展服务中心</t>
  </si>
  <si>
    <t>来安县应急管理综合服务中心</t>
  </si>
  <si>
    <t>来安县化工园区安全生产和应急管理中心</t>
  </si>
  <si>
    <t>来安县法律援助中心</t>
  </si>
  <si>
    <t>来安县林业技术推广中心</t>
  </si>
  <si>
    <t>来安县林业发展中心</t>
  </si>
  <si>
    <t>来安县施官镇自然资源和规划管理所</t>
  </si>
  <si>
    <t>来安县新安镇自然资源和规划管理所</t>
  </si>
  <si>
    <t>具有初级会计专业技术资格</t>
  </si>
  <si>
    <t>来安县半塔镇自然资源和规划管理所</t>
  </si>
  <si>
    <t>来安县雷官镇自然资源和规划管理所</t>
  </si>
  <si>
    <t>来安县新安镇经济发展服务中心</t>
  </si>
  <si>
    <t>来安县水口镇经济发展服务中心</t>
  </si>
  <si>
    <t>来安县水口镇综合行政执法大队</t>
  </si>
  <si>
    <t>退役士兵</t>
  </si>
  <si>
    <t>来安县三城镇经济发展服务中心</t>
  </si>
  <si>
    <t>来安县三城镇社会发展服务中心</t>
  </si>
  <si>
    <t>来安县雷官镇经济发展服务中心</t>
  </si>
  <si>
    <t>来安县张山镇经济发展服务中心</t>
  </si>
  <si>
    <t>来安县张山镇社会发展服务中心</t>
  </si>
  <si>
    <t>来安县大英镇经济发展服务中心</t>
  </si>
  <si>
    <t>来安县施官镇经济发展服务中心</t>
  </si>
  <si>
    <t>来安县半塔镇综合行政执法大队</t>
  </si>
  <si>
    <t>来安县杨郢乡经济发展服务中心</t>
  </si>
  <si>
    <t>来安县杨郢乡社会发展服务中心</t>
  </si>
  <si>
    <t>会计学</t>
  </si>
  <si>
    <t>滁州学院</t>
  </si>
  <si>
    <t>特岗教师</t>
  </si>
  <si>
    <t>来安县融媒体中心</t>
  </si>
  <si>
    <t>一级乙等普通话水平测试等级</t>
  </si>
</sst>
</file>

<file path=xl/styles.xml><?xml version="1.0" encoding="utf-8"?>
<styleSheet xmlns="http://schemas.openxmlformats.org/spreadsheetml/2006/main">
  <numFmts count="1">
    <numFmt numFmtId="178" formatCode="0.00_ "/>
  </numFmts>
  <fonts count="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20"/>
      <name val="方正小标宋简体"/>
      <charset val="134"/>
    </font>
    <font>
      <sz val="10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">
    <cellStyle name="常规" xfId="0" builtinId="0"/>
    <cellStyle name="常规 2" xfId="3"/>
    <cellStyle name="常规 3" xfId="2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workbookViewId="0">
      <selection sqref="A1:N1"/>
    </sheetView>
  </sheetViews>
  <sheetFormatPr defaultColWidth="9" defaultRowHeight="14.25"/>
  <cols>
    <col min="1" max="1" width="5.375" customWidth="1"/>
    <col min="2" max="2" width="38" customWidth="1"/>
    <col min="3" max="3" width="11.875" style="2" customWidth="1"/>
    <col min="4" max="4" width="11" style="2" customWidth="1"/>
    <col min="5" max="5" width="14.375" customWidth="1"/>
    <col min="7" max="7" width="11.375" customWidth="1"/>
    <col min="8" max="8" width="7.875" customWidth="1"/>
    <col min="9" max="9" width="22.25" customWidth="1"/>
    <col min="10" max="10" width="25.25" customWidth="1"/>
    <col min="11" max="11" width="9.875" customWidth="1"/>
    <col min="12" max="12" width="9" customWidth="1"/>
    <col min="13" max="13" width="12.625" customWidth="1"/>
    <col min="14" max="14" width="15.625" style="3" customWidth="1"/>
  </cols>
  <sheetData>
    <row r="1" spans="1:14" ht="39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8" t="s">
        <v>14</v>
      </c>
    </row>
    <row r="3" spans="1:14" s="1" customFormat="1" ht="30" customHeight="1">
      <c r="A3" s="4">
        <v>1</v>
      </c>
      <c r="B3" s="5" t="s">
        <v>15</v>
      </c>
      <c r="C3" s="6">
        <v>202303001</v>
      </c>
      <c r="D3" s="6" t="s">
        <v>16</v>
      </c>
      <c r="E3" s="4" t="str">
        <f>"202303001003"</f>
        <v>202303001003</v>
      </c>
      <c r="F3" s="4" t="str">
        <f>"任连慧"</f>
        <v>任连慧</v>
      </c>
      <c r="G3" s="4" t="str">
        <f>"2000.06"</f>
        <v>2000.06</v>
      </c>
      <c r="H3" s="4" t="str">
        <f>"女"</f>
        <v>女</v>
      </c>
      <c r="I3" s="4" t="str">
        <f>"广播电视学"</f>
        <v>广播电视学</v>
      </c>
      <c r="J3" s="4" t="str">
        <f>"安庆师范大学"</f>
        <v>安庆师范大学</v>
      </c>
      <c r="K3" s="4" t="str">
        <f t="shared" ref="K3:K10" si="0">"大学本科"</f>
        <v>大学本科</v>
      </c>
      <c r="L3" s="4" t="str">
        <f t="shared" ref="L3:L10" si="1">"学士"</f>
        <v>学士</v>
      </c>
      <c r="M3" s="9">
        <v>73.900000000000006</v>
      </c>
      <c r="N3" s="8"/>
    </row>
    <row r="4" spans="1:14" s="1" customFormat="1" ht="30" customHeight="1">
      <c r="A4" s="4">
        <v>2</v>
      </c>
      <c r="B4" s="5" t="s">
        <v>17</v>
      </c>
      <c r="C4" s="4">
        <v>202303002</v>
      </c>
      <c r="D4" s="4" t="s">
        <v>18</v>
      </c>
      <c r="E4" s="4" t="str">
        <f>"202303001026"</f>
        <v>202303001026</v>
      </c>
      <c r="F4" s="4" t="str">
        <f>"杨跃柱"</f>
        <v>杨跃柱</v>
      </c>
      <c r="G4" s="4" t="str">
        <f>"1996.01"</f>
        <v>1996.01</v>
      </c>
      <c r="H4" s="4" t="str">
        <f>"男"</f>
        <v>男</v>
      </c>
      <c r="I4" s="4" t="str">
        <f>"编辑出版学"</f>
        <v>编辑出版学</v>
      </c>
      <c r="J4" s="4" t="str">
        <f>"合肥师范学院"</f>
        <v>合肥师范学院</v>
      </c>
      <c r="K4" s="4" t="str">
        <f t="shared" si="0"/>
        <v>大学本科</v>
      </c>
      <c r="L4" s="4" t="str">
        <f t="shared" si="1"/>
        <v>学士</v>
      </c>
      <c r="M4" s="9">
        <v>73.533333333333303</v>
      </c>
      <c r="N4" s="8"/>
    </row>
    <row r="5" spans="1:14" s="1" customFormat="1" ht="30" customHeight="1">
      <c r="A5" s="4">
        <v>3</v>
      </c>
      <c r="B5" s="5" t="s">
        <v>19</v>
      </c>
      <c r="C5" s="4">
        <v>202303003</v>
      </c>
      <c r="D5" s="6" t="s">
        <v>16</v>
      </c>
      <c r="E5" s="4" t="str">
        <f>"202303001030"</f>
        <v>202303001030</v>
      </c>
      <c r="F5" s="4" t="str">
        <f>"詹丹雨"</f>
        <v>詹丹雨</v>
      </c>
      <c r="G5" s="4" t="str">
        <f>"2000.01"</f>
        <v>2000.01</v>
      </c>
      <c r="H5" s="4" t="str">
        <f>"男"</f>
        <v>男</v>
      </c>
      <c r="I5" s="4" t="str">
        <f>"经济统计学"</f>
        <v>经济统计学</v>
      </c>
      <c r="J5" s="4" t="str">
        <f>"滁州学院"</f>
        <v>滁州学院</v>
      </c>
      <c r="K5" s="4" t="str">
        <f t="shared" si="0"/>
        <v>大学本科</v>
      </c>
      <c r="L5" s="4" t="str">
        <f t="shared" si="1"/>
        <v>学士</v>
      </c>
      <c r="M5" s="9">
        <v>74.150000000000006</v>
      </c>
      <c r="N5" s="8" t="s">
        <v>20</v>
      </c>
    </row>
    <row r="6" spans="1:14" s="1" customFormat="1" ht="30" customHeight="1">
      <c r="A6" s="4">
        <v>4</v>
      </c>
      <c r="B6" s="5" t="s">
        <v>21</v>
      </c>
      <c r="C6" s="4">
        <v>202303004</v>
      </c>
      <c r="D6" s="4" t="s">
        <v>18</v>
      </c>
      <c r="E6" s="4" t="str">
        <f>"202303004012"</f>
        <v>202303004012</v>
      </c>
      <c r="F6" s="4" t="str">
        <f>"李福建"</f>
        <v>李福建</v>
      </c>
      <c r="G6" s="4" t="str">
        <f>"1996.10"</f>
        <v>1996.10</v>
      </c>
      <c r="H6" s="4" t="str">
        <f>"男"</f>
        <v>男</v>
      </c>
      <c r="I6" s="4" t="str">
        <f>"资源勘查工程"</f>
        <v>资源勘查工程</v>
      </c>
      <c r="J6" s="4" t="str">
        <f>"合肥工业大学"</f>
        <v>合肥工业大学</v>
      </c>
      <c r="K6" s="4" t="str">
        <f t="shared" si="0"/>
        <v>大学本科</v>
      </c>
      <c r="L6" s="4" t="str">
        <f t="shared" si="1"/>
        <v>学士</v>
      </c>
      <c r="M6" s="9">
        <v>78.5</v>
      </c>
      <c r="N6" s="8"/>
    </row>
    <row r="7" spans="1:14" s="1" customFormat="1" ht="30" customHeight="1">
      <c r="A7" s="4">
        <v>5</v>
      </c>
      <c r="B7" s="5" t="s">
        <v>22</v>
      </c>
      <c r="C7" s="4">
        <v>202303005</v>
      </c>
      <c r="D7" s="4" t="s">
        <v>18</v>
      </c>
      <c r="E7" s="4" t="str">
        <f>"202303005003"</f>
        <v>202303005003</v>
      </c>
      <c r="F7" s="4" t="str">
        <f>"李超凡"</f>
        <v>李超凡</v>
      </c>
      <c r="G7" s="4" t="str">
        <f>"1999.04"</f>
        <v>1999.04</v>
      </c>
      <c r="H7" s="4" t="str">
        <f>"男"</f>
        <v>男</v>
      </c>
      <c r="I7" s="4" t="str">
        <f>"生物技术"</f>
        <v>生物技术</v>
      </c>
      <c r="J7" s="4" t="str">
        <f>"西南大学"</f>
        <v>西南大学</v>
      </c>
      <c r="K7" s="4" t="str">
        <f t="shared" si="0"/>
        <v>大学本科</v>
      </c>
      <c r="L7" s="4" t="str">
        <f t="shared" si="1"/>
        <v>学士</v>
      </c>
      <c r="M7" s="9">
        <v>75.5</v>
      </c>
      <c r="N7" s="8"/>
    </row>
    <row r="8" spans="1:14" s="1" customFormat="1" ht="30" customHeight="1">
      <c r="A8" s="4">
        <v>6</v>
      </c>
      <c r="B8" s="5" t="s">
        <v>23</v>
      </c>
      <c r="C8" s="4">
        <v>202303006</v>
      </c>
      <c r="D8" s="4" t="s">
        <v>18</v>
      </c>
      <c r="E8" s="4" t="str">
        <f>"202303006030"</f>
        <v>202303006030</v>
      </c>
      <c r="F8" s="4" t="str">
        <f>"刘思贝"</f>
        <v>刘思贝</v>
      </c>
      <c r="G8" s="4" t="str">
        <f>"1996.02"</f>
        <v>1996.02</v>
      </c>
      <c r="H8" s="4" t="str">
        <f>"女"</f>
        <v>女</v>
      </c>
      <c r="I8" s="4" t="str">
        <f>"会计学"</f>
        <v>会计学</v>
      </c>
      <c r="J8" s="4" t="str">
        <f>"铜陵学院"</f>
        <v>铜陵学院</v>
      </c>
      <c r="K8" s="4" t="str">
        <f t="shared" si="0"/>
        <v>大学本科</v>
      </c>
      <c r="L8" s="4" t="str">
        <f t="shared" si="1"/>
        <v>学士</v>
      </c>
      <c r="M8" s="9">
        <v>75.266666666666694</v>
      </c>
      <c r="N8" s="8"/>
    </row>
    <row r="9" spans="1:14" s="1" customFormat="1" ht="30" customHeight="1">
      <c r="A9" s="4">
        <v>7</v>
      </c>
      <c r="B9" s="5" t="s">
        <v>24</v>
      </c>
      <c r="C9" s="4">
        <v>202303007</v>
      </c>
      <c r="D9" s="4" t="s">
        <v>18</v>
      </c>
      <c r="E9" s="4" t="str">
        <f>"202303007015"</f>
        <v>202303007015</v>
      </c>
      <c r="F9" s="4" t="str">
        <f>"陆漫艺"</f>
        <v>陆漫艺</v>
      </c>
      <c r="G9" s="4" t="str">
        <f>"1995.05"</f>
        <v>1995.05</v>
      </c>
      <c r="H9" s="4" t="str">
        <f>"女"</f>
        <v>女</v>
      </c>
      <c r="I9" s="4" t="str">
        <f>"会计学"</f>
        <v>会计学</v>
      </c>
      <c r="J9" s="4" t="str">
        <f>"黄山学院"</f>
        <v>黄山学院</v>
      </c>
      <c r="K9" s="4" t="str">
        <f t="shared" si="0"/>
        <v>大学本科</v>
      </c>
      <c r="L9" s="4" t="str">
        <f t="shared" si="1"/>
        <v>学士</v>
      </c>
      <c r="M9" s="9">
        <v>74.9166666666667</v>
      </c>
      <c r="N9" s="8"/>
    </row>
    <row r="10" spans="1:14" s="1" customFormat="1" ht="30" customHeight="1">
      <c r="A10" s="4">
        <v>8</v>
      </c>
      <c r="B10" s="5" t="s">
        <v>25</v>
      </c>
      <c r="C10" s="4">
        <v>202303008</v>
      </c>
      <c r="D10" s="4" t="s">
        <v>18</v>
      </c>
      <c r="E10" s="4" t="str">
        <f>"202303007023"</f>
        <v>202303007023</v>
      </c>
      <c r="F10" s="4" t="str">
        <f>"沈仁珉"</f>
        <v>沈仁珉</v>
      </c>
      <c r="G10" s="4" t="str">
        <f>"1994.03"</f>
        <v>1994.03</v>
      </c>
      <c r="H10" s="4" t="str">
        <f>"女"</f>
        <v>女</v>
      </c>
      <c r="I10" s="4" t="str">
        <f>"汉语言文学"</f>
        <v>汉语言文学</v>
      </c>
      <c r="J10" s="4" t="str">
        <f>"国家开放大学"</f>
        <v>国家开放大学</v>
      </c>
      <c r="K10" s="4" t="str">
        <f t="shared" si="0"/>
        <v>大学本科</v>
      </c>
      <c r="L10" s="4" t="str">
        <f t="shared" si="1"/>
        <v>学士</v>
      </c>
      <c r="M10" s="9">
        <v>69.349999999999994</v>
      </c>
      <c r="N10" s="8"/>
    </row>
    <row r="11" spans="1:14" s="1" customFormat="1" ht="30" customHeight="1">
      <c r="A11" s="4">
        <v>9</v>
      </c>
      <c r="B11" s="5" t="s">
        <v>26</v>
      </c>
      <c r="C11" s="4">
        <v>202303010</v>
      </c>
      <c r="D11" s="6" t="s">
        <v>16</v>
      </c>
      <c r="E11" s="4" t="str">
        <f>"202303009001"</f>
        <v>202303009001</v>
      </c>
      <c r="F11" s="4" t="str">
        <f>"陶玉莹"</f>
        <v>陶玉莹</v>
      </c>
      <c r="G11" s="4" t="str">
        <f>"1999.01"</f>
        <v>1999.01</v>
      </c>
      <c r="H11" s="4" t="str">
        <f>"女"</f>
        <v>女</v>
      </c>
      <c r="I11" s="4" t="str">
        <f>"会计学"</f>
        <v>会计学</v>
      </c>
      <c r="J11" s="4" t="str">
        <f>"南京审计大学金审学院"</f>
        <v>南京审计大学金审学院</v>
      </c>
      <c r="K11" s="4" t="str">
        <f>"大学本科"</f>
        <v>大学本科</v>
      </c>
      <c r="L11" s="4"/>
      <c r="M11" s="9">
        <v>72.733333333333306</v>
      </c>
      <c r="N11" s="8"/>
    </row>
    <row r="12" spans="1:14" s="1" customFormat="1" ht="30" customHeight="1">
      <c r="A12" s="4">
        <v>10</v>
      </c>
      <c r="B12" s="5" t="s">
        <v>27</v>
      </c>
      <c r="C12" s="4">
        <v>202303011</v>
      </c>
      <c r="D12" s="4" t="s">
        <v>18</v>
      </c>
      <c r="E12" s="4" t="str">
        <f>"202303010006"</f>
        <v>202303010006</v>
      </c>
      <c r="F12" s="4" t="str">
        <f>"张晓平"</f>
        <v>张晓平</v>
      </c>
      <c r="G12" s="4" t="str">
        <f>"1994.09"</f>
        <v>1994.09</v>
      </c>
      <c r="H12" s="4" t="str">
        <f>"男"</f>
        <v>男</v>
      </c>
      <c r="I12" s="4" t="str">
        <f>"旅游管理"</f>
        <v>旅游管理</v>
      </c>
      <c r="J12" s="4" t="str">
        <f>"阜阳师范学院"</f>
        <v>阜阳师范学院</v>
      </c>
      <c r="K12" s="4" t="str">
        <f>"大学本科"</f>
        <v>大学本科</v>
      </c>
      <c r="L12" s="4"/>
      <c r="M12" s="9">
        <v>75.533333333333303</v>
      </c>
      <c r="N12" s="8"/>
    </row>
    <row r="13" spans="1:14" s="1" customFormat="1" ht="30" customHeight="1">
      <c r="A13" s="4">
        <v>11</v>
      </c>
      <c r="B13" s="5" t="s">
        <v>27</v>
      </c>
      <c r="C13" s="4">
        <v>202303012</v>
      </c>
      <c r="D13" s="6" t="s">
        <v>16</v>
      </c>
      <c r="E13" s="4" t="str">
        <f>"202303010024"</f>
        <v>202303010024</v>
      </c>
      <c r="F13" s="4" t="str">
        <f>"卢星宇"</f>
        <v>卢星宇</v>
      </c>
      <c r="G13" s="4" t="str">
        <f>"1997.11"</f>
        <v>1997.11</v>
      </c>
      <c r="H13" s="4" t="str">
        <f>"女"</f>
        <v>女</v>
      </c>
      <c r="I13" s="4" t="str">
        <f>"财务管理"</f>
        <v>财务管理</v>
      </c>
      <c r="J13" s="4" t="str">
        <f>"滁州学院"</f>
        <v>滁州学院</v>
      </c>
      <c r="K13" s="4" t="str">
        <f>"大学本科"</f>
        <v>大学本科</v>
      </c>
      <c r="L13" s="4"/>
      <c r="M13" s="9">
        <v>74.849999999999994</v>
      </c>
      <c r="N13" s="8"/>
    </row>
    <row r="14" spans="1:14" s="1" customFormat="1" ht="30" customHeight="1">
      <c r="A14" s="4">
        <v>12</v>
      </c>
      <c r="B14" s="5" t="s">
        <v>28</v>
      </c>
      <c r="C14" s="4">
        <v>202303013</v>
      </c>
      <c r="D14" s="4" t="s">
        <v>18</v>
      </c>
      <c r="E14" s="4" t="str">
        <f>"202303011024"</f>
        <v>202303011024</v>
      </c>
      <c r="F14" s="4" t="str">
        <f>"陶园艳"</f>
        <v>陶园艳</v>
      </c>
      <c r="G14" s="4" t="str">
        <f>"1999.10"</f>
        <v>1999.10</v>
      </c>
      <c r="H14" s="4" t="str">
        <f>"女"</f>
        <v>女</v>
      </c>
      <c r="I14" s="4" t="str">
        <f>"德语（国际课程合作）"</f>
        <v>德语（国际课程合作）</v>
      </c>
      <c r="J14" s="4" t="str">
        <f>"上海师范大学天华学院"</f>
        <v>上海师范大学天华学院</v>
      </c>
      <c r="K14" s="4" t="str">
        <f>"大学本科"</f>
        <v>大学本科</v>
      </c>
      <c r="L14" s="4"/>
      <c r="M14" s="9">
        <v>74.55</v>
      </c>
      <c r="N14" s="8"/>
    </row>
    <row r="15" spans="1:14" s="1" customFormat="1" ht="30" customHeight="1">
      <c r="A15" s="4">
        <v>13</v>
      </c>
      <c r="B15" s="5" t="s">
        <v>29</v>
      </c>
      <c r="C15" s="4">
        <v>202303014</v>
      </c>
      <c r="D15" s="6" t="s">
        <v>16</v>
      </c>
      <c r="E15" s="4" t="str">
        <f>"202303012030"</f>
        <v>202303012030</v>
      </c>
      <c r="F15" s="4" t="str">
        <f>"武峰印"</f>
        <v>武峰印</v>
      </c>
      <c r="G15" s="4" t="str">
        <f>"1995.11"</f>
        <v>1995.11</v>
      </c>
      <c r="H15" s="4" t="str">
        <f>"男"</f>
        <v>男</v>
      </c>
      <c r="I15" s="4" t="str">
        <f>"渔业发展"</f>
        <v>渔业发展</v>
      </c>
      <c r="J15" s="4" t="str">
        <f>"南京农业大学"</f>
        <v>南京农业大学</v>
      </c>
      <c r="K15" s="4" t="str">
        <f t="shared" ref="K15:K19" si="2">"研究生"</f>
        <v>研究生</v>
      </c>
      <c r="L15" s="4"/>
      <c r="M15" s="9">
        <v>70.1666666666667</v>
      </c>
      <c r="N15" s="8"/>
    </row>
    <row r="16" spans="1:14" s="1" customFormat="1" ht="30" customHeight="1">
      <c r="A16" s="4">
        <v>14</v>
      </c>
      <c r="B16" s="5" t="s">
        <v>30</v>
      </c>
      <c r="C16" s="4">
        <v>202303015</v>
      </c>
      <c r="D16" s="4" t="s">
        <v>18</v>
      </c>
      <c r="E16" s="4" t="str">
        <f>"202303013007"</f>
        <v>202303013007</v>
      </c>
      <c r="F16" s="4" t="str">
        <f>"马婷燕"</f>
        <v>马婷燕</v>
      </c>
      <c r="G16" s="4" t="str">
        <f>"1998.09"</f>
        <v>1998.09</v>
      </c>
      <c r="H16" s="4" t="str">
        <f>"女"</f>
        <v>女</v>
      </c>
      <c r="I16" s="4" t="str">
        <f>"会计学"</f>
        <v>会计学</v>
      </c>
      <c r="J16" s="4" t="str">
        <f>"安徽师范大学皖江学院"</f>
        <v>安徽师范大学皖江学院</v>
      </c>
      <c r="K16" s="4" t="str">
        <f>"大学本科"</f>
        <v>大学本科</v>
      </c>
      <c r="L16" s="4" t="str">
        <f>"学士"</f>
        <v>学士</v>
      </c>
      <c r="M16" s="9">
        <v>72.933333333333294</v>
      </c>
      <c r="N16" s="8"/>
    </row>
    <row r="17" spans="1:14" s="1" customFormat="1" ht="30" customHeight="1">
      <c r="A17" s="4">
        <v>15</v>
      </c>
      <c r="B17" s="5" t="s">
        <v>31</v>
      </c>
      <c r="C17" s="4">
        <v>202303016</v>
      </c>
      <c r="D17" s="6" t="s">
        <v>16</v>
      </c>
      <c r="E17" s="4" t="str">
        <f>"202303013028"</f>
        <v>202303013028</v>
      </c>
      <c r="F17" s="4" t="str">
        <f>"余鹏鹏"</f>
        <v>余鹏鹏</v>
      </c>
      <c r="G17" s="4" t="str">
        <f>"2001.09"</f>
        <v>2001.09</v>
      </c>
      <c r="H17" s="4" t="str">
        <f>"男"</f>
        <v>男</v>
      </c>
      <c r="I17" s="4" t="str">
        <f>"园艺"</f>
        <v>园艺</v>
      </c>
      <c r="J17" s="4" t="str">
        <f>"淮北师范大学"</f>
        <v>淮北师范大学</v>
      </c>
      <c r="K17" s="4" t="str">
        <f>"大学本科"</f>
        <v>大学本科</v>
      </c>
      <c r="L17" s="4" t="str">
        <f>"学士"</f>
        <v>学士</v>
      </c>
      <c r="M17" s="9">
        <v>72.3</v>
      </c>
      <c r="N17" s="8"/>
    </row>
    <row r="18" spans="1:14" s="1" customFormat="1" ht="30" customHeight="1">
      <c r="A18" s="4">
        <v>16</v>
      </c>
      <c r="B18" s="5" t="s">
        <v>31</v>
      </c>
      <c r="C18" s="4">
        <v>202303016</v>
      </c>
      <c r="D18" s="6" t="s">
        <v>16</v>
      </c>
      <c r="E18" s="4" t="str">
        <f>"202303014005"</f>
        <v>202303014005</v>
      </c>
      <c r="F18" s="4" t="str">
        <f>"於朋"</f>
        <v>於朋</v>
      </c>
      <c r="G18" s="4" t="str">
        <f>"1994.11"</f>
        <v>1994.11</v>
      </c>
      <c r="H18" s="4" t="str">
        <f>"女"</f>
        <v>女</v>
      </c>
      <c r="I18" s="4" t="str">
        <f>"农艺与种业"</f>
        <v>农艺与种业</v>
      </c>
      <c r="J18" s="4" t="str">
        <f>"安徽农业大学"</f>
        <v>安徽农业大学</v>
      </c>
      <c r="K18" s="4" t="str">
        <f t="shared" si="2"/>
        <v>研究生</v>
      </c>
      <c r="L18" s="4" t="str">
        <f t="shared" ref="L18:L19" si="3">"硕士"</f>
        <v>硕士</v>
      </c>
      <c r="M18" s="9">
        <v>72.25</v>
      </c>
      <c r="N18" s="8"/>
    </row>
    <row r="19" spans="1:14" s="1" customFormat="1" ht="30" customHeight="1">
      <c r="A19" s="4">
        <v>17</v>
      </c>
      <c r="B19" s="5" t="s">
        <v>31</v>
      </c>
      <c r="C19" s="4">
        <v>202303016</v>
      </c>
      <c r="D19" s="6" t="s">
        <v>16</v>
      </c>
      <c r="E19" s="4" t="str">
        <f>"202303014002"</f>
        <v>202303014002</v>
      </c>
      <c r="F19" s="4" t="str">
        <f>"孙致远"</f>
        <v>孙致远</v>
      </c>
      <c r="G19" s="4" t="str">
        <f>"1994.07"</f>
        <v>1994.07</v>
      </c>
      <c r="H19" s="4" t="str">
        <f>"男"</f>
        <v>男</v>
      </c>
      <c r="I19" s="4" t="str">
        <f>"农业工程与信息技术"</f>
        <v>农业工程与信息技术</v>
      </c>
      <c r="J19" s="4" t="str">
        <f>"云南农业大学"</f>
        <v>云南农业大学</v>
      </c>
      <c r="K19" s="4" t="str">
        <f t="shared" si="2"/>
        <v>研究生</v>
      </c>
      <c r="L19" s="4" t="str">
        <f t="shared" si="3"/>
        <v>硕士</v>
      </c>
      <c r="M19" s="9">
        <v>71.9166666666667</v>
      </c>
      <c r="N19" s="8"/>
    </row>
    <row r="20" spans="1:14" s="1" customFormat="1" ht="30" customHeight="1">
      <c r="A20" s="4">
        <v>18</v>
      </c>
      <c r="B20" s="5" t="s">
        <v>32</v>
      </c>
      <c r="C20" s="4">
        <v>202303017</v>
      </c>
      <c r="D20" s="4" t="s">
        <v>18</v>
      </c>
      <c r="E20" s="4" t="str">
        <f>"202303015026"</f>
        <v>202303015026</v>
      </c>
      <c r="F20" s="4" t="str">
        <f>"刘佳"</f>
        <v>刘佳</v>
      </c>
      <c r="G20" s="4" t="str">
        <f>"2001.05"</f>
        <v>2001.05</v>
      </c>
      <c r="H20" s="4" t="str">
        <f>"女"</f>
        <v>女</v>
      </c>
      <c r="I20" s="4" t="str">
        <f>"制药工程"</f>
        <v>制药工程</v>
      </c>
      <c r="J20" s="4" t="str">
        <f>"滁州学院"</f>
        <v>滁州学院</v>
      </c>
      <c r="K20" s="4" t="str">
        <f t="shared" ref="K20:K26" si="4">"大学本科"</f>
        <v>大学本科</v>
      </c>
      <c r="L20" s="4" t="str">
        <f t="shared" ref="L20:L27" si="5">"学士"</f>
        <v>学士</v>
      </c>
      <c r="M20" s="9">
        <v>72.9166666666667</v>
      </c>
      <c r="N20" s="8"/>
    </row>
    <row r="21" spans="1:14" s="1" customFormat="1" ht="30" customHeight="1">
      <c r="A21" s="4">
        <v>19</v>
      </c>
      <c r="B21" s="5" t="s">
        <v>33</v>
      </c>
      <c r="C21" s="4">
        <v>202303018</v>
      </c>
      <c r="D21" s="6" t="s">
        <v>16</v>
      </c>
      <c r="E21" s="4" t="str">
        <f>"202303017004"</f>
        <v>202303017004</v>
      </c>
      <c r="F21" s="4" t="str">
        <f>"沈梦伟"</f>
        <v>沈梦伟</v>
      </c>
      <c r="G21" s="4" t="str">
        <f>"1996.10"</f>
        <v>1996.10</v>
      </c>
      <c r="H21" s="4" t="str">
        <f>"女"</f>
        <v>女</v>
      </c>
      <c r="I21" s="4" t="str">
        <f>"保险学"</f>
        <v>保险学</v>
      </c>
      <c r="J21" s="4" t="str">
        <f>"皖南医学院"</f>
        <v>皖南医学院</v>
      </c>
      <c r="K21" s="4" t="str">
        <f t="shared" si="4"/>
        <v>大学本科</v>
      </c>
      <c r="L21" s="4" t="str">
        <f t="shared" si="5"/>
        <v>学士</v>
      </c>
      <c r="M21" s="9">
        <v>77.516666666666694</v>
      </c>
      <c r="N21" s="8"/>
    </row>
    <row r="22" spans="1:14" s="1" customFormat="1" ht="30" customHeight="1">
      <c r="A22" s="4">
        <v>20</v>
      </c>
      <c r="B22" s="5" t="s">
        <v>34</v>
      </c>
      <c r="C22" s="4">
        <v>202303019</v>
      </c>
      <c r="D22" s="6" t="s">
        <v>16</v>
      </c>
      <c r="E22" s="4" t="str">
        <f>"202303017028"</f>
        <v>202303017028</v>
      </c>
      <c r="F22" s="4" t="str">
        <f>"张颖"</f>
        <v>张颖</v>
      </c>
      <c r="G22" s="4" t="str">
        <f>"1996.10"</f>
        <v>1996.10</v>
      </c>
      <c r="H22" s="4" t="str">
        <f>"女"</f>
        <v>女</v>
      </c>
      <c r="I22" s="4" t="str">
        <f>"会计学"</f>
        <v>会计学</v>
      </c>
      <c r="J22" s="4" t="str">
        <f>"铜陵学院"</f>
        <v>铜陵学院</v>
      </c>
      <c r="K22" s="4" t="str">
        <f t="shared" si="4"/>
        <v>大学本科</v>
      </c>
      <c r="L22" s="4" t="str">
        <f t="shared" si="5"/>
        <v>学士</v>
      </c>
      <c r="M22" s="9">
        <v>74.033333333333303</v>
      </c>
      <c r="N22" s="8"/>
    </row>
    <row r="23" spans="1:14" s="1" customFormat="1" ht="30" customHeight="1">
      <c r="A23" s="4">
        <v>21</v>
      </c>
      <c r="B23" s="5" t="s">
        <v>34</v>
      </c>
      <c r="C23" s="4">
        <v>202303019</v>
      </c>
      <c r="D23" s="6" t="s">
        <v>16</v>
      </c>
      <c r="E23" s="4" t="str">
        <f>"202303019006"</f>
        <v>202303019006</v>
      </c>
      <c r="F23" s="4" t="str">
        <f>"张锐"</f>
        <v>张锐</v>
      </c>
      <c r="G23" s="4" t="str">
        <f>"1998.03"</f>
        <v>1998.03</v>
      </c>
      <c r="H23" s="4" t="str">
        <f>"女"</f>
        <v>女</v>
      </c>
      <c r="I23" s="4" t="str">
        <f>"会计学"</f>
        <v>会计学</v>
      </c>
      <c r="J23" s="4" t="str">
        <f>"安徽外国语学院"</f>
        <v>安徽外国语学院</v>
      </c>
      <c r="K23" s="4" t="str">
        <f t="shared" si="4"/>
        <v>大学本科</v>
      </c>
      <c r="L23" s="4" t="str">
        <f t="shared" si="5"/>
        <v>学士</v>
      </c>
      <c r="M23" s="9">
        <v>73.349999999999994</v>
      </c>
      <c r="N23" s="8"/>
    </row>
    <row r="24" spans="1:14" s="1" customFormat="1" ht="30" customHeight="1">
      <c r="A24" s="4">
        <v>22</v>
      </c>
      <c r="B24" s="5" t="s">
        <v>34</v>
      </c>
      <c r="C24" s="4">
        <v>202303019</v>
      </c>
      <c r="D24" s="6" t="s">
        <v>16</v>
      </c>
      <c r="E24" s="4" t="str">
        <f>"202303019024"</f>
        <v>202303019024</v>
      </c>
      <c r="F24" s="4" t="str">
        <f>"李元元"</f>
        <v>李元元</v>
      </c>
      <c r="G24" s="4" t="str">
        <f>"1994.05"</f>
        <v>1994.05</v>
      </c>
      <c r="H24" s="4" t="str">
        <f>"女"</f>
        <v>女</v>
      </c>
      <c r="I24" s="4" t="str">
        <f>"财务管理"</f>
        <v>财务管理</v>
      </c>
      <c r="J24" s="4" t="str">
        <f>"皖西学院"</f>
        <v>皖西学院</v>
      </c>
      <c r="K24" s="4" t="str">
        <f t="shared" si="4"/>
        <v>大学本科</v>
      </c>
      <c r="L24" s="4" t="str">
        <f t="shared" si="5"/>
        <v>学士</v>
      </c>
      <c r="M24" s="9">
        <v>73.266666666666694</v>
      </c>
      <c r="N24" s="8"/>
    </row>
    <row r="25" spans="1:14" s="1" customFormat="1" ht="30" customHeight="1">
      <c r="A25" s="4">
        <v>23</v>
      </c>
      <c r="B25" s="5" t="s">
        <v>34</v>
      </c>
      <c r="C25" s="4">
        <v>202303019</v>
      </c>
      <c r="D25" s="6" t="s">
        <v>16</v>
      </c>
      <c r="E25" s="4" t="str">
        <f>"202303018008"</f>
        <v>202303018008</v>
      </c>
      <c r="F25" s="4" t="str">
        <f>"孙文强"</f>
        <v>孙文强</v>
      </c>
      <c r="G25" s="4" t="str">
        <f>"1996.12"</f>
        <v>1996.12</v>
      </c>
      <c r="H25" s="4" t="str">
        <f>"男"</f>
        <v>男</v>
      </c>
      <c r="I25" s="4" t="str">
        <f>"会计学（注册会计师）"</f>
        <v>会计学（注册会计师）</v>
      </c>
      <c r="J25" s="4" t="str">
        <f>"吉林财经大学"</f>
        <v>吉林财经大学</v>
      </c>
      <c r="K25" s="4" t="str">
        <f t="shared" si="4"/>
        <v>大学本科</v>
      </c>
      <c r="L25" s="4" t="str">
        <f t="shared" si="5"/>
        <v>学士</v>
      </c>
      <c r="M25" s="9">
        <v>73.116666666666703</v>
      </c>
      <c r="N25" s="8"/>
    </row>
    <row r="26" spans="1:14" s="1" customFormat="1" ht="30" customHeight="1">
      <c r="A26" s="4">
        <v>24</v>
      </c>
      <c r="B26" s="5" t="s">
        <v>34</v>
      </c>
      <c r="C26" s="4">
        <v>202303019</v>
      </c>
      <c r="D26" s="6" t="s">
        <v>16</v>
      </c>
      <c r="E26" s="4" t="str">
        <f>"202303017012"</f>
        <v>202303017012</v>
      </c>
      <c r="F26" s="4" t="str">
        <f>"许智愚"</f>
        <v>许智愚</v>
      </c>
      <c r="G26" s="4" t="str">
        <f>"1999.06"</f>
        <v>1999.06</v>
      </c>
      <c r="H26" s="4" t="str">
        <f>"男"</f>
        <v>男</v>
      </c>
      <c r="I26" s="4" t="str">
        <f>"会计学"</f>
        <v>会计学</v>
      </c>
      <c r="J26" s="4" t="str">
        <f>"西南石油大学"</f>
        <v>西南石油大学</v>
      </c>
      <c r="K26" s="4" t="str">
        <f t="shared" si="4"/>
        <v>大学本科</v>
      </c>
      <c r="L26" s="4" t="str">
        <f t="shared" si="5"/>
        <v>学士</v>
      </c>
      <c r="M26" s="9">
        <v>72.466666666666697</v>
      </c>
      <c r="N26" s="8"/>
    </row>
    <row r="27" spans="1:14" s="1" customFormat="1" ht="30" customHeight="1">
      <c r="A27" s="4">
        <v>25</v>
      </c>
      <c r="B27" s="5" t="s">
        <v>34</v>
      </c>
      <c r="C27" s="4">
        <v>202303019</v>
      </c>
      <c r="D27" s="6" t="s">
        <v>16</v>
      </c>
      <c r="E27" s="4" t="str">
        <f>"202303019005"</f>
        <v>202303019005</v>
      </c>
      <c r="F27" s="4" t="str">
        <f>"陈安琪"</f>
        <v>陈安琪</v>
      </c>
      <c r="G27" s="4" t="str">
        <f>"1993.04"</f>
        <v>1993.04</v>
      </c>
      <c r="H27" s="4" t="str">
        <f>"女"</f>
        <v>女</v>
      </c>
      <c r="I27" s="4" t="str">
        <f>"财务管理"</f>
        <v>财务管理</v>
      </c>
      <c r="J27" s="4" t="str">
        <f>"安徽师范大学皖江学院"</f>
        <v>安徽师范大学皖江学院</v>
      </c>
      <c r="K27" s="4" t="str">
        <f t="shared" ref="K27:K35" si="6">"大学本科"</f>
        <v>大学本科</v>
      </c>
      <c r="L27" s="4" t="str">
        <f t="shared" si="5"/>
        <v>学士</v>
      </c>
      <c r="M27" s="9">
        <v>72.1666666666667</v>
      </c>
      <c r="N27" s="8"/>
    </row>
    <row r="28" spans="1:14" s="1" customFormat="1" ht="30" customHeight="1">
      <c r="A28" s="4">
        <v>26</v>
      </c>
      <c r="B28" s="5" t="s">
        <v>35</v>
      </c>
      <c r="C28" s="4">
        <v>202303020</v>
      </c>
      <c r="D28" s="6" t="s">
        <v>16</v>
      </c>
      <c r="E28" s="4" t="str">
        <f>"202303020016"</f>
        <v>202303020016</v>
      </c>
      <c r="F28" s="4" t="str">
        <f>"朱俊超"</f>
        <v>朱俊超</v>
      </c>
      <c r="G28" s="4" t="str">
        <f>"1994.11"</f>
        <v>1994.11</v>
      </c>
      <c r="H28" s="4" t="str">
        <f>"女"</f>
        <v>女</v>
      </c>
      <c r="I28" s="4" t="str">
        <f>"会计学"</f>
        <v>会计学</v>
      </c>
      <c r="J28" s="4" t="str">
        <f>"安徽工业大学"</f>
        <v>安徽工业大学</v>
      </c>
      <c r="K28" s="4" t="str">
        <f t="shared" si="6"/>
        <v>大学本科</v>
      </c>
      <c r="L28" s="4"/>
      <c r="M28" s="9">
        <v>73.516666666666694</v>
      </c>
      <c r="N28" s="8"/>
    </row>
    <row r="29" spans="1:14" s="1" customFormat="1" ht="30" customHeight="1">
      <c r="A29" s="4">
        <v>27</v>
      </c>
      <c r="B29" s="5" t="s">
        <v>36</v>
      </c>
      <c r="C29" s="4">
        <v>202303021</v>
      </c>
      <c r="D29" s="6" t="s">
        <v>16</v>
      </c>
      <c r="E29" s="4" t="str">
        <f>"202303021014"</f>
        <v>202303021014</v>
      </c>
      <c r="F29" s="4" t="str">
        <f>"李惟潇"</f>
        <v>李惟潇</v>
      </c>
      <c r="G29" s="4" t="str">
        <f>"2000.10"</f>
        <v>2000.10</v>
      </c>
      <c r="H29" s="4" t="str">
        <f>"男"</f>
        <v>男</v>
      </c>
      <c r="I29" s="4" t="str">
        <f>"网络与新媒体"</f>
        <v>网络与新媒体</v>
      </c>
      <c r="J29" s="4" t="str">
        <f>"池州学院"</f>
        <v>池州学院</v>
      </c>
      <c r="K29" s="4" t="str">
        <f t="shared" si="6"/>
        <v>大学本科</v>
      </c>
      <c r="L29" s="4" t="str">
        <f>"学士"</f>
        <v>学士</v>
      </c>
      <c r="M29" s="9">
        <v>78.733333333333306</v>
      </c>
      <c r="N29" s="8"/>
    </row>
    <row r="30" spans="1:14" s="1" customFormat="1" ht="30" customHeight="1">
      <c r="A30" s="4">
        <v>28</v>
      </c>
      <c r="B30" s="5" t="s">
        <v>37</v>
      </c>
      <c r="C30" s="4">
        <v>202303022</v>
      </c>
      <c r="D30" s="4" t="s">
        <v>18</v>
      </c>
      <c r="E30" s="4" t="str">
        <f>"202303021030"</f>
        <v>202303021030</v>
      </c>
      <c r="F30" s="4" t="str">
        <f>"周妍"</f>
        <v>周妍</v>
      </c>
      <c r="G30" s="4" t="str">
        <f>"1999.11"</f>
        <v>1999.11</v>
      </c>
      <c r="H30" s="4" t="str">
        <f t="shared" ref="H30:H36" si="7">"女"</f>
        <v>女</v>
      </c>
      <c r="I30" s="4" t="str">
        <f>"英语（语言文学）"</f>
        <v>英语（语言文学）</v>
      </c>
      <c r="J30" s="4" t="str">
        <f>"暨南大学"</f>
        <v>暨南大学</v>
      </c>
      <c r="K30" s="4" t="str">
        <f t="shared" si="6"/>
        <v>大学本科</v>
      </c>
      <c r="L30" s="4" t="str">
        <f>"学士"</f>
        <v>学士</v>
      </c>
      <c r="M30" s="9">
        <v>75.483333333333306</v>
      </c>
      <c r="N30" s="8"/>
    </row>
    <row r="31" spans="1:14" s="1" customFormat="1" ht="30" customHeight="1">
      <c r="A31" s="4">
        <v>29</v>
      </c>
      <c r="B31" s="5" t="s">
        <v>37</v>
      </c>
      <c r="C31" s="4">
        <v>202303023</v>
      </c>
      <c r="D31" s="6" t="s">
        <v>16</v>
      </c>
      <c r="E31" s="4" t="str">
        <f>"202303024008"</f>
        <v>202303024008</v>
      </c>
      <c r="F31" s="4" t="str">
        <f>"王若锦"</f>
        <v>王若锦</v>
      </c>
      <c r="G31" s="4" t="str">
        <f>"2001.01"</f>
        <v>2001.01</v>
      </c>
      <c r="H31" s="4" t="str">
        <f t="shared" si="7"/>
        <v>女</v>
      </c>
      <c r="I31" s="4" t="str">
        <f>"汉语言文学"</f>
        <v>汉语言文学</v>
      </c>
      <c r="J31" s="4" t="str">
        <f>"滁州学院"</f>
        <v>滁州学院</v>
      </c>
      <c r="K31" s="4" t="str">
        <f t="shared" si="6"/>
        <v>大学本科</v>
      </c>
      <c r="L31" s="4" t="str">
        <f>"学士"</f>
        <v>学士</v>
      </c>
      <c r="M31" s="9">
        <v>73.933333333333294</v>
      </c>
      <c r="N31" s="8"/>
    </row>
    <row r="32" spans="1:14" s="1" customFormat="1" ht="30" customHeight="1">
      <c r="A32" s="4">
        <v>30</v>
      </c>
      <c r="B32" s="5" t="s">
        <v>38</v>
      </c>
      <c r="C32" s="4">
        <v>202303024</v>
      </c>
      <c r="D32" s="6" t="s">
        <v>16</v>
      </c>
      <c r="E32" s="4" t="str">
        <f>"202303025011"</f>
        <v>202303025011</v>
      </c>
      <c r="F32" s="4" t="str">
        <f>"赵腾"</f>
        <v>赵腾</v>
      </c>
      <c r="G32" s="4" t="str">
        <f>"1995.10"</f>
        <v>1995.10</v>
      </c>
      <c r="H32" s="4" t="str">
        <f t="shared" si="7"/>
        <v>女</v>
      </c>
      <c r="I32" s="4" t="str">
        <f>"通信工程"</f>
        <v>通信工程</v>
      </c>
      <c r="J32" s="4" t="str">
        <f>"南京邮电大学"</f>
        <v>南京邮电大学</v>
      </c>
      <c r="K32" s="4" t="str">
        <f t="shared" si="6"/>
        <v>大学本科</v>
      </c>
      <c r="L32" s="4"/>
      <c r="M32" s="9">
        <v>71.933333333333294</v>
      </c>
      <c r="N32" s="8"/>
    </row>
    <row r="33" spans="1:14" s="1" customFormat="1" ht="30" customHeight="1">
      <c r="A33" s="4">
        <v>31</v>
      </c>
      <c r="B33" s="7" t="s">
        <v>39</v>
      </c>
      <c r="C33" s="4">
        <v>202303025</v>
      </c>
      <c r="D33" s="4" t="s">
        <v>18</v>
      </c>
      <c r="E33" s="4" t="str">
        <f>"202303026012"</f>
        <v>202303026012</v>
      </c>
      <c r="F33" s="4" t="str">
        <f>"刘周婷"</f>
        <v>刘周婷</v>
      </c>
      <c r="G33" s="4" t="str">
        <f>"1995.08"</f>
        <v>1995.08</v>
      </c>
      <c r="H33" s="4" t="str">
        <f t="shared" si="7"/>
        <v>女</v>
      </c>
      <c r="I33" s="4" t="str">
        <f>"法学"</f>
        <v>法学</v>
      </c>
      <c r="J33" s="4" t="str">
        <f>"安徽科技学院"</f>
        <v>安徽科技学院</v>
      </c>
      <c r="K33" s="4" t="str">
        <f t="shared" si="6"/>
        <v>大学本科</v>
      </c>
      <c r="L33" s="4"/>
      <c r="M33" s="9">
        <v>72.516666666666694</v>
      </c>
      <c r="N33" s="8"/>
    </row>
    <row r="34" spans="1:14" s="1" customFormat="1" ht="30" customHeight="1">
      <c r="A34" s="4">
        <v>32</v>
      </c>
      <c r="B34" s="5" t="s">
        <v>40</v>
      </c>
      <c r="C34" s="4">
        <v>202303026</v>
      </c>
      <c r="D34" s="4" t="s">
        <v>18</v>
      </c>
      <c r="E34" s="4" t="str">
        <f>"202303026017"</f>
        <v>202303026017</v>
      </c>
      <c r="F34" s="4" t="str">
        <f>"陈延霞"</f>
        <v>陈延霞</v>
      </c>
      <c r="G34" s="4" t="str">
        <f>"1997.02"</f>
        <v>1997.02</v>
      </c>
      <c r="H34" s="4" t="str">
        <f t="shared" si="7"/>
        <v>女</v>
      </c>
      <c r="I34" s="4" t="str">
        <f>"食品卫生与营养学"</f>
        <v>食品卫生与营养学</v>
      </c>
      <c r="J34" s="4" t="str">
        <f>"蚌埠学院"</f>
        <v>蚌埠学院</v>
      </c>
      <c r="K34" s="4" t="str">
        <f t="shared" si="6"/>
        <v>大学本科</v>
      </c>
      <c r="L34" s="4" t="str">
        <f>"学士"</f>
        <v>学士</v>
      </c>
      <c r="M34" s="9">
        <v>71.183333333333294</v>
      </c>
      <c r="N34" s="8"/>
    </row>
    <row r="35" spans="1:14" s="1" customFormat="1" ht="30" customHeight="1">
      <c r="A35" s="4">
        <v>33</v>
      </c>
      <c r="B35" s="7" t="s">
        <v>41</v>
      </c>
      <c r="C35" s="4">
        <v>202303027</v>
      </c>
      <c r="D35" s="6" t="s">
        <v>16</v>
      </c>
      <c r="E35" s="4" t="str">
        <f>"202303026019"</f>
        <v>202303026019</v>
      </c>
      <c r="F35" s="4" t="str">
        <f>"张瑞"</f>
        <v>张瑞</v>
      </c>
      <c r="G35" s="4" t="str">
        <f>"1996.08"</f>
        <v>1996.08</v>
      </c>
      <c r="H35" s="4" t="str">
        <f t="shared" si="7"/>
        <v>女</v>
      </c>
      <c r="I35" s="4" t="str">
        <f>"临床医学"</f>
        <v>临床医学</v>
      </c>
      <c r="J35" s="4" t="str">
        <f>"山西医科大学汾阳学院"</f>
        <v>山西医科大学汾阳学院</v>
      </c>
      <c r="K35" s="4" t="str">
        <f t="shared" si="6"/>
        <v>大学本科</v>
      </c>
      <c r="L35" s="4"/>
      <c r="M35" s="9">
        <v>73.05</v>
      </c>
      <c r="N35" s="8"/>
    </row>
    <row r="36" spans="1:14" s="1" customFormat="1" ht="30" customHeight="1">
      <c r="A36" s="4">
        <v>34</v>
      </c>
      <c r="B36" s="7" t="s">
        <v>41</v>
      </c>
      <c r="C36" s="4">
        <v>202303028</v>
      </c>
      <c r="D36" s="6" t="s">
        <v>16</v>
      </c>
      <c r="E36" s="4" t="str">
        <f>"202303027010"</f>
        <v>202303027010</v>
      </c>
      <c r="F36" s="4" t="str">
        <f>"王子昱"</f>
        <v>王子昱</v>
      </c>
      <c r="G36" s="4" t="str">
        <f>"1999.03"</f>
        <v>1999.03</v>
      </c>
      <c r="H36" s="4" t="str">
        <f t="shared" si="7"/>
        <v>女</v>
      </c>
      <c r="I36" s="4" t="str">
        <f>"计算机科学与技术"</f>
        <v>计算机科学与技术</v>
      </c>
      <c r="J36" s="4" t="str">
        <f>"安徽信息工程学院"</f>
        <v>安徽信息工程学院</v>
      </c>
      <c r="K36" s="4" t="str">
        <f t="shared" ref="K36:K41" si="8">"大学本科"</f>
        <v>大学本科</v>
      </c>
      <c r="L36" s="4" t="str">
        <f t="shared" ref="L36:L41" si="9">"学士"</f>
        <v>学士</v>
      </c>
      <c r="M36" s="9">
        <v>73.150000000000006</v>
      </c>
      <c r="N36" s="8"/>
    </row>
    <row r="37" spans="1:14" s="1" customFormat="1" ht="30" customHeight="1">
      <c r="A37" s="4">
        <v>35</v>
      </c>
      <c r="B37" s="7" t="s">
        <v>42</v>
      </c>
      <c r="C37" s="4">
        <v>202303029</v>
      </c>
      <c r="D37" s="6" t="s">
        <v>16</v>
      </c>
      <c r="E37" s="4" t="str">
        <f>"202303027025"</f>
        <v>202303027025</v>
      </c>
      <c r="F37" s="4" t="str">
        <f>"程晨"</f>
        <v>程晨</v>
      </c>
      <c r="G37" s="4" t="str">
        <f>"1996.12"</f>
        <v>1996.12</v>
      </c>
      <c r="H37" s="4" t="str">
        <f>"男"</f>
        <v>男</v>
      </c>
      <c r="I37" s="4" t="str">
        <f>"汉语言文学"</f>
        <v>汉语言文学</v>
      </c>
      <c r="J37" s="4" t="str">
        <f>"池州学院"</f>
        <v>池州学院</v>
      </c>
      <c r="K37" s="4" t="str">
        <f t="shared" si="8"/>
        <v>大学本科</v>
      </c>
      <c r="L37" s="4"/>
      <c r="M37" s="9">
        <v>73.099999999999994</v>
      </c>
      <c r="N37" s="8"/>
    </row>
    <row r="38" spans="1:14" s="1" customFormat="1" ht="30" customHeight="1">
      <c r="A38" s="4">
        <v>36</v>
      </c>
      <c r="B38" s="7" t="s">
        <v>43</v>
      </c>
      <c r="C38" s="4">
        <v>202303030</v>
      </c>
      <c r="D38" s="6" t="s">
        <v>16</v>
      </c>
      <c r="E38" s="4" t="str">
        <f>"202303028005"</f>
        <v>202303028005</v>
      </c>
      <c r="F38" s="4" t="str">
        <f>"李子豪"</f>
        <v>李子豪</v>
      </c>
      <c r="G38" s="4" t="str">
        <f>"1999.08"</f>
        <v>1999.08</v>
      </c>
      <c r="H38" s="4" t="str">
        <f>"男"</f>
        <v>男</v>
      </c>
      <c r="I38" s="4" t="str">
        <f>"水利水电工程"</f>
        <v>水利水电工程</v>
      </c>
      <c r="J38" s="4" t="str">
        <f>"河海大学文天学院"</f>
        <v>河海大学文天学院</v>
      </c>
      <c r="K38" s="4" t="str">
        <f t="shared" si="8"/>
        <v>大学本科</v>
      </c>
      <c r="L38" s="4" t="str">
        <f t="shared" si="9"/>
        <v>学士</v>
      </c>
      <c r="M38" s="9">
        <v>68.599999999999994</v>
      </c>
      <c r="N38" s="8"/>
    </row>
    <row r="39" spans="1:14" s="1" customFormat="1" ht="30" customHeight="1">
      <c r="A39" s="4">
        <v>37</v>
      </c>
      <c r="B39" s="7" t="s">
        <v>44</v>
      </c>
      <c r="C39" s="4">
        <v>202303031</v>
      </c>
      <c r="D39" s="6" t="s">
        <v>16</v>
      </c>
      <c r="E39" s="4" t="str">
        <f>"202303029004"</f>
        <v>202303029004</v>
      </c>
      <c r="F39" s="4" t="str">
        <f>"黄梅"</f>
        <v>黄梅</v>
      </c>
      <c r="G39" s="4" t="str">
        <f>"2000.10"</f>
        <v>2000.10</v>
      </c>
      <c r="H39" s="4" t="str">
        <f>"女"</f>
        <v>女</v>
      </c>
      <c r="I39" s="4" t="str">
        <f>"国际经济与贸易"</f>
        <v>国际经济与贸易</v>
      </c>
      <c r="J39" s="4" t="str">
        <f>"安徽中医药大学"</f>
        <v>安徽中医药大学</v>
      </c>
      <c r="K39" s="4" t="str">
        <f t="shared" si="8"/>
        <v>大学本科</v>
      </c>
      <c r="L39" s="4" t="str">
        <f t="shared" si="9"/>
        <v>学士</v>
      </c>
      <c r="M39" s="9">
        <v>73.466666666666697</v>
      </c>
      <c r="N39" s="8"/>
    </row>
    <row r="40" spans="1:14" s="1" customFormat="1" ht="30" customHeight="1">
      <c r="A40" s="4">
        <v>38</v>
      </c>
      <c r="B40" s="7" t="s">
        <v>45</v>
      </c>
      <c r="C40" s="4">
        <v>202303034</v>
      </c>
      <c r="D40" s="6" t="s">
        <v>16</v>
      </c>
      <c r="E40" s="4" t="str">
        <f>"202303031012"</f>
        <v>202303031012</v>
      </c>
      <c r="F40" s="4" t="str">
        <f>"樊可芯"</f>
        <v>樊可芯</v>
      </c>
      <c r="G40" s="4" t="str">
        <f>"2000.04"</f>
        <v>2000.04</v>
      </c>
      <c r="H40" s="4" t="str">
        <f>"女"</f>
        <v>女</v>
      </c>
      <c r="I40" s="4" t="str">
        <f>"法学"</f>
        <v>法学</v>
      </c>
      <c r="J40" s="4" t="str">
        <f>"浙江工商大学杭州商学院"</f>
        <v>浙江工商大学杭州商学院</v>
      </c>
      <c r="K40" s="4" t="str">
        <f t="shared" si="8"/>
        <v>大学本科</v>
      </c>
      <c r="L40" s="4" t="str">
        <f t="shared" si="9"/>
        <v>学士</v>
      </c>
      <c r="M40" s="9">
        <v>73.4166666666667</v>
      </c>
      <c r="N40" s="8"/>
    </row>
    <row r="41" spans="1:14" s="1" customFormat="1" ht="30" customHeight="1">
      <c r="A41" s="4">
        <v>39</v>
      </c>
      <c r="B41" s="7" t="s">
        <v>45</v>
      </c>
      <c r="C41" s="4">
        <v>202303034</v>
      </c>
      <c r="D41" s="6" t="s">
        <v>16</v>
      </c>
      <c r="E41" s="4" t="str">
        <f>"202303030014"</f>
        <v>202303030014</v>
      </c>
      <c r="F41" s="4" t="str">
        <f>"薛李媛"</f>
        <v>薛李媛</v>
      </c>
      <c r="G41" s="4" t="str">
        <f>"1994.07"</f>
        <v>1994.07</v>
      </c>
      <c r="H41" s="4" t="str">
        <f>"女"</f>
        <v>女</v>
      </c>
      <c r="I41" s="4" t="str">
        <f>"法学"</f>
        <v>法学</v>
      </c>
      <c r="J41" s="4" t="str">
        <f>"北京联合大学"</f>
        <v>北京联合大学</v>
      </c>
      <c r="K41" s="4" t="str">
        <f t="shared" si="8"/>
        <v>大学本科</v>
      </c>
      <c r="L41" s="4" t="str">
        <f t="shared" si="9"/>
        <v>学士</v>
      </c>
      <c r="M41" s="9">
        <v>72.566666666666706</v>
      </c>
      <c r="N41" s="8"/>
    </row>
    <row r="42" spans="1:14" s="1" customFormat="1" ht="30" customHeight="1">
      <c r="A42" s="4">
        <v>40</v>
      </c>
      <c r="B42" s="7" t="s">
        <v>46</v>
      </c>
      <c r="C42" s="4">
        <v>202303035</v>
      </c>
      <c r="D42" s="6" t="s">
        <v>16</v>
      </c>
      <c r="E42" s="4" t="str">
        <f>"202303031016"</f>
        <v>202303031016</v>
      </c>
      <c r="F42" s="4" t="str">
        <f>"何青青"</f>
        <v>何青青</v>
      </c>
      <c r="G42" s="4" t="str">
        <f>"1994.08"</f>
        <v>1994.08</v>
      </c>
      <c r="H42" s="4" t="str">
        <f>"女"</f>
        <v>女</v>
      </c>
      <c r="I42" s="4" t="str">
        <f>"林木遗传育种"</f>
        <v>林木遗传育种</v>
      </c>
      <c r="J42" s="4" t="str">
        <f>"南京林业大学"</f>
        <v>南京林业大学</v>
      </c>
      <c r="K42" s="4" t="str">
        <f>"研究生"</f>
        <v>研究生</v>
      </c>
      <c r="L42" s="4" t="str">
        <f>"硕士"</f>
        <v>硕士</v>
      </c>
      <c r="M42" s="9">
        <v>74.516666666666694</v>
      </c>
      <c r="N42" s="8"/>
    </row>
    <row r="43" spans="1:14" s="1" customFormat="1" ht="30" customHeight="1">
      <c r="A43" s="4">
        <v>41</v>
      </c>
      <c r="B43" s="7" t="s">
        <v>47</v>
      </c>
      <c r="C43" s="4">
        <v>202303036</v>
      </c>
      <c r="D43" s="4" t="s">
        <v>18</v>
      </c>
      <c r="E43" s="4" t="str">
        <f>"202303031028"</f>
        <v>202303031028</v>
      </c>
      <c r="F43" s="4" t="str">
        <f>"李平平"</f>
        <v>李平平</v>
      </c>
      <c r="G43" s="4" t="str">
        <f>"1994.09"</f>
        <v>1994.09</v>
      </c>
      <c r="H43" s="4" t="str">
        <f>"女"</f>
        <v>女</v>
      </c>
      <c r="I43" s="4" t="str">
        <f>"金融学"</f>
        <v>金融学</v>
      </c>
      <c r="J43" s="4" t="str">
        <f>"安徽理工大学"</f>
        <v>安徽理工大学</v>
      </c>
      <c r="K43" s="4" t="str">
        <f t="shared" ref="K43:K49" si="10">"大学本科"</f>
        <v>大学本科</v>
      </c>
      <c r="L43" s="4" t="str">
        <f t="shared" ref="L43:L49" si="11">"学士"</f>
        <v>学士</v>
      </c>
      <c r="M43" s="9">
        <v>73.3333333333333</v>
      </c>
      <c r="N43" s="8"/>
    </row>
    <row r="44" spans="1:14" s="1" customFormat="1" ht="30" customHeight="1">
      <c r="A44" s="4">
        <v>42</v>
      </c>
      <c r="B44" s="7" t="s">
        <v>48</v>
      </c>
      <c r="C44" s="4">
        <v>202303038</v>
      </c>
      <c r="D44" s="6" t="s">
        <v>16</v>
      </c>
      <c r="E44" s="4" t="str">
        <f>"202303033007"</f>
        <v>202303033007</v>
      </c>
      <c r="F44" s="4" t="str">
        <f>"余少乐"</f>
        <v>余少乐</v>
      </c>
      <c r="G44" s="4" t="str">
        <f>"1996.03"</f>
        <v>1996.03</v>
      </c>
      <c r="H44" s="4" t="str">
        <f>"男"</f>
        <v>男</v>
      </c>
      <c r="I44" s="4" t="str">
        <f>"地理信息科学"</f>
        <v>地理信息科学</v>
      </c>
      <c r="J44" s="4" t="str">
        <f>"滁州学院"</f>
        <v>滁州学院</v>
      </c>
      <c r="K44" s="4" t="str">
        <f t="shared" si="10"/>
        <v>大学本科</v>
      </c>
      <c r="L44" s="4" t="str">
        <f t="shared" si="11"/>
        <v>学士</v>
      </c>
      <c r="M44" s="9">
        <v>73.316666666666706</v>
      </c>
      <c r="N44" s="8"/>
    </row>
    <row r="45" spans="1:14" s="1" customFormat="1" ht="30" customHeight="1">
      <c r="A45" s="4">
        <v>43</v>
      </c>
      <c r="B45" s="5" t="s">
        <v>49</v>
      </c>
      <c r="C45" s="4">
        <v>202303039</v>
      </c>
      <c r="D45" s="4" t="s">
        <v>18</v>
      </c>
      <c r="E45" s="4" t="str">
        <f>"202303033029"</f>
        <v>202303033029</v>
      </c>
      <c r="F45" s="4" t="str">
        <f>"蒋美琪"</f>
        <v>蒋美琪</v>
      </c>
      <c r="G45" s="4" t="str">
        <f>"1999.01"</f>
        <v>1999.01</v>
      </c>
      <c r="H45" s="4" t="str">
        <f>"女"</f>
        <v>女</v>
      </c>
      <c r="I45" s="4" t="str">
        <f>"汉语言文学（文秘方向）"</f>
        <v>汉语言文学（文秘方向）</v>
      </c>
      <c r="J45" s="4" t="str">
        <f>"淮北师范大学"</f>
        <v>淮北师范大学</v>
      </c>
      <c r="K45" s="4" t="str">
        <f t="shared" si="10"/>
        <v>大学本科</v>
      </c>
      <c r="L45" s="4" t="str">
        <f t="shared" si="11"/>
        <v>学士</v>
      </c>
      <c r="M45" s="9">
        <v>73.599999999999994</v>
      </c>
      <c r="N45" s="8"/>
    </row>
    <row r="46" spans="1:14" s="1" customFormat="1" ht="30" customHeight="1">
      <c r="A46" s="4">
        <v>44</v>
      </c>
      <c r="B46" s="7" t="s">
        <v>49</v>
      </c>
      <c r="C46" s="4">
        <v>202303040</v>
      </c>
      <c r="D46" s="6" t="s">
        <v>16</v>
      </c>
      <c r="E46" s="4" t="str">
        <f>"202303034019"</f>
        <v>202303034019</v>
      </c>
      <c r="F46" s="4" t="str">
        <f>"李进"</f>
        <v>李进</v>
      </c>
      <c r="G46" s="4" t="str">
        <f>"2000.10"</f>
        <v>2000.10</v>
      </c>
      <c r="H46" s="4" t="str">
        <f>"男"</f>
        <v>男</v>
      </c>
      <c r="I46" s="4" t="str">
        <f>"物联网工程"</f>
        <v>物联网工程</v>
      </c>
      <c r="J46" s="4" t="str">
        <f>"黑龙江科技大学"</f>
        <v>黑龙江科技大学</v>
      </c>
      <c r="K46" s="4" t="str">
        <f t="shared" si="10"/>
        <v>大学本科</v>
      </c>
      <c r="L46" s="4" t="str">
        <f t="shared" si="11"/>
        <v>学士</v>
      </c>
      <c r="M46" s="9">
        <v>72.6666666666667</v>
      </c>
      <c r="N46" s="8"/>
    </row>
    <row r="47" spans="1:14" s="1" customFormat="1" ht="30" customHeight="1">
      <c r="A47" s="4">
        <v>45</v>
      </c>
      <c r="B47" s="7" t="s">
        <v>49</v>
      </c>
      <c r="C47" s="4">
        <v>202303041</v>
      </c>
      <c r="D47" s="6" t="s">
        <v>16</v>
      </c>
      <c r="E47" s="4" t="str">
        <f>"202303034025"</f>
        <v>202303034025</v>
      </c>
      <c r="F47" s="4" t="str">
        <f>"田雪"</f>
        <v>田雪</v>
      </c>
      <c r="G47" s="4" t="str">
        <f>"1998.11"</f>
        <v>1998.11</v>
      </c>
      <c r="H47" s="4" t="str">
        <f>"女"</f>
        <v>女</v>
      </c>
      <c r="I47" s="4" t="str">
        <f>"财务管理"</f>
        <v>财务管理</v>
      </c>
      <c r="J47" s="4" t="str">
        <f>"安徽科技学院"</f>
        <v>安徽科技学院</v>
      </c>
      <c r="K47" s="4" t="str">
        <f t="shared" si="10"/>
        <v>大学本科</v>
      </c>
      <c r="L47" s="4" t="str">
        <f t="shared" si="11"/>
        <v>学士</v>
      </c>
      <c r="M47" s="9">
        <v>73.349999999999994</v>
      </c>
      <c r="N47" s="8" t="s">
        <v>50</v>
      </c>
    </row>
    <row r="48" spans="1:14" s="1" customFormat="1" ht="30" customHeight="1">
      <c r="A48" s="4">
        <v>46</v>
      </c>
      <c r="B48" s="7" t="s">
        <v>51</v>
      </c>
      <c r="C48" s="4">
        <v>202303042</v>
      </c>
      <c r="D48" s="4" t="s">
        <v>18</v>
      </c>
      <c r="E48" s="4" t="str">
        <f>"202303035011"</f>
        <v>202303035011</v>
      </c>
      <c r="F48" s="4" t="str">
        <f>"戴睿"</f>
        <v>戴睿</v>
      </c>
      <c r="G48" s="4" t="str">
        <f>"2001.12"</f>
        <v>2001.12</v>
      </c>
      <c r="H48" s="4" t="str">
        <f>"男"</f>
        <v>男</v>
      </c>
      <c r="I48" s="4" t="str">
        <f>"导航工程"</f>
        <v>导航工程</v>
      </c>
      <c r="J48" s="4" t="str">
        <f>"滁州学院"</f>
        <v>滁州学院</v>
      </c>
      <c r="K48" s="4" t="str">
        <f t="shared" si="10"/>
        <v>大学本科</v>
      </c>
      <c r="L48" s="4" t="str">
        <f t="shared" si="11"/>
        <v>学士</v>
      </c>
      <c r="M48" s="9">
        <v>72.933333333333294</v>
      </c>
      <c r="N48" s="8"/>
    </row>
    <row r="49" spans="1:14" s="1" customFormat="1" ht="30" customHeight="1">
      <c r="A49" s="4">
        <v>47</v>
      </c>
      <c r="B49" s="7" t="s">
        <v>52</v>
      </c>
      <c r="C49" s="4">
        <v>202303043</v>
      </c>
      <c r="D49" s="6" t="s">
        <v>16</v>
      </c>
      <c r="E49" s="4" t="str">
        <f>"202303035020"</f>
        <v>202303035020</v>
      </c>
      <c r="F49" s="4" t="str">
        <f>"孙天宇"</f>
        <v>孙天宇</v>
      </c>
      <c r="G49" s="4" t="str">
        <f>"1993.08"</f>
        <v>1993.08</v>
      </c>
      <c r="H49" s="4" t="str">
        <f>"男"</f>
        <v>男</v>
      </c>
      <c r="I49" s="4" t="str">
        <f>"地理信息系统"</f>
        <v>地理信息系统</v>
      </c>
      <c r="J49" s="4" t="str">
        <f>"黑龙江工程学院"</f>
        <v>黑龙江工程学院</v>
      </c>
      <c r="K49" s="4" t="str">
        <f t="shared" si="10"/>
        <v>大学本科</v>
      </c>
      <c r="L49" s="4" t="str">
        <f t="shared" si="11"/>
        <v>学士</v>
      </c>
      <c r="M49" s="9">
        <v>73.616666666666703</v>
      </c>
      <c r="N49" s="8"/>
    </row>
    <row r="50" spans="1:14" s="1" customFormat="1" ht="30" customHeight="1">
      <c r="A50" s="4">
        <v>48</v>
      </c>
      <c r="B50" s="5" t="s">
        <v>53</v>
      </c>
      <c r="C50" s="4">
        <v>202303044</v>
      </c>
      <c r="D50" s="6" t="s">
        <v>16</v>
      </c>
      <c r="E50" s="4" t="str">
        <f>"202303035028"</f>
        <v>202303035028</v>
      </c>
      <c r="F50" s="4" t="str">
        <f>"严洁"</f>
        <v>严洁</v>
      </c>
      <c r="G50" s="4" t="str">
        <f>"1998.08"</f>
        <v>1998.08</v>
      </c>
      <c r="H50" s="4" t="str">
        <f>"女"</f>
        <v>女</v>
      </c>
      <c r="I50" s="4" t="str">
        <f>"应用统计"</f>
        <v>应用统计</v>
      </c>
      <c r="J50" s="4" t="str">
        <f>"南京信息工程大学"</f>
        <v>南京信息工程大学</v>
      </c>
      <c r="K50" s="4" t="str">
        <f>"研究生"</f>
        <v>研究生</v>
      </c>
      <c r="L50" s="4" t="str">
        <f>"硕士"</f>
        <v>硕士</v>
      </c>
      <c r="M50" s="9">
        <v>75.25</v>
      </c>
      <c r="N50" s="8"/>
    </row>
    <row r="51" spans="1:14" s="1" customFormat="1" ht="30" customHeight="1">
      <c r="A51" s="4">
        <v>49</v>
      </c>
      <c r="B51" s="5" t="s">
        <v>53</v>
      </c>
      <c r="C51" s="4">
        <v>202303045</v>
      </c>
      <c r="D51" s="6" t="s">
        <v>16</v>
      </c>
      <c r="E51" s="4" t="str">
        <f>"202303036024"</f>
        <v>202303036024</v>
      </c>
      <c r="F51" s="4" t="str">
        <f>"陶启超"</f>
        <v>陶启超</v>
      </c>
      <c r="G51" s="4" t="str">
        <f>"1998.01"</f>
        <v>1998.01</v>
      </c>
      <c r="H51" s="4" t="str">
        <f>"男"</f>
        <v>男</v>
      </c>
      <c r="I51" s="4" t="str">
        <f>"建筑电气与智能化"</f>
        <v>建筑电气与智能化</v>
      </c>
      <c r="J51" s="4" t="str">
        <f>"安徽建筑大学"</f>
        <v>安徽建筑大学</v>
      </c>
      <c r="K51" s="4" t="str">
        <f>"大学本科"</f>
        <v>大学本科</v>
      </c>
      <c r="L51" s="4" t="str">
        <f>"学士"</f>
        <v>学士</v>
      </c>
      <c r="M51" s="9">
        <v>73.75</v>
      </c>
      <c r="N51" s="8"/>
    </row>
    <row r="52" spans="1:14" s="1" customFormat="1" ht="30" customHeight="1">
      <c r="A52" s="4">
        <v>50</v>
      </c>
      <c r="B52" s="5" t="s">
        <v>54</v>
      </c>
      <c r="C52" s="4">
        <v>202303047</v>
      </c>
      <c r="D52" s="4" t="s">
        <v>18</v>
      </c>
      <c r="E52" s="4" t="str">
        <f>"202303038016"</f>
        <v>202303038016</v>
      </c>
      <c r="F52" s="4" t="str">
        <f>"唐冉"</f>
        <v>唐冉</v>
      </c>
      <c r="G52" s="4" t="str">
        <f>"1996.02"</f>
        <v>1996.02</v>
      </c>
      <c r="H52" s="4" t="str">
        <f>"男"</f>
        <v>男</v>
      </c>
      <c r="I52" s="4" t="str">
        <f>"会计"</f>
        <v>会计</v>
      </c>
      <c r="J52" s="4" t="str">
        <f>"浙江工业大学"</f>
        <v>浙江工业大学</v>
      </c>
      <c r="K52" s="4" t="str">
        <f>"研究生"</f>
        <v>研究生</v>
      </c>
      <c r="L52" s="4"/>
      <c r="M52" s="9">
        <v>74.066666666666706</v>
      </c>
      <c r="N52" s="8"/>
    </row>
    <row r="53" spans="1:14" s="1" customFormat="1" ht="30" customHeight="1">
      <c r="A53" s="4">
        <v>51</v>
      </c>
      <c r="B53" s="5" t="s">
        <v>55</v>
      </c>
      <c r="C53" s="4">
        <v>202303048</v>
      </c>
      <c r="D53" s="4" t="s">
        <v>18</v>
      </c>
      <c r="E53" s="4" t="str">
        <f>"202303040002"</f>
        <v>202303040002</v>
      </c>
      <c r="F53" s="4" t="str">
        <f>"张妍"</f>
        <v>张妍</v>
      </c>
      <c r="G53" s="4" t="str">
        <f>"1999.06"</f>
        <v>1999.06</v>
      </c>
      <c r="H53" s="4" t="str">
        <f>"女"</f>
        <v>女</v>
      </c>
      <c r="I53" s="4" t="str">
        <f>"德语"</f>
        <v>德语</v>
      </c>
      <c r="J53" s="4" t="str">
        <f>"上海应用技术大学"</f>
        <v>上海应用技术大学</v>
      </c>
      <c r="K53" s="4" t="str">
        <f>"大学本科"</f>
        <v>大学本科</v>
      </c>
      <c r="L53" s="4"/>
      <c r="M53" s="9">
        <v>74.8333333333333</v>
      </c>
      <c r="N53" s="8"/>
    </row>
    <row r="54" spans="1:14" s="1" customFormat="1" ht="30" customHeight="1">
      <c r="A54" s="4">
        <v>52</v>
      </c>
      <c r="B54" s="5" t="s">
        <v>55</v>
      </c>
      <c r="C54" s="4">
        <v>202303049</v>
      </c>
      <c r="D54" s="4" t="s">
        <v>18</v>
      </c>
      <c r="E54" s="4" t="str">
        <f>"202303040028"</f>
        <v>202303040028</v>
      </c>
      <c r="F54" s="4" t="str">
        <f>"徐兵"</f>
        <v>徐兵</v>
      </c>
      <c r="G54" s="4" t="str">
        <f>"1995.11"</f>
        <v>1995.11</v>
      </c>
      <c r="H54" s="4" t="str">
        <f>"男"</f>
        <v>男</v>
      </c>
      <c r="I54" s="4" t="str">
        <f>"生物科学"</f>
        <v>生物科学</v>
      </c>
      <c r="J54" s="4" t="str">
        <f>"滁州学院"</f>
        <v>滁州学院</v>
      </c>
      <c r="K54" s="4" t="str">
        <f>"大学本科"</f>
        <v>大学本科</v>
      </c>
      <c r="L54" s="4"/>
      <c r="M54" s="9">
        <v>73.55</v>
      </c>
      <c r="N54" s="8" t="s">
        <v>56</v>
      </c>
    </row>
    <row r="55" spans="1:14" s="1" customFormat="1" ht="30" customHeight="1">
      <c r="A55" s="4">
        <v>53</v>
      </c>
      <c r="B55" s="5" t="s">
        <v>57</v>
      </c>
      <c r="C55" s="4">
        <v>202303050</v>
      </c>
      <c r="D55" s="4" t="s">
        <v>18</v>
      </c>
      <c r="E55" s="4" t="str">
        <f>"202303041017"</f>
        <v>202303041017</v>
      </c>
      <c r="F55" s="4" t="str">
        <f>"刘欢"</f>
        <v>刘欢</v>
      </c>
      <c r="G55" s="4" t="str">
        <f>"1995.09"</f>
        <v>1995.09</v>
      </c>
      <c r="H55" s="4" t="str">
        <f>"男"</f>
        <v>男</v>
      </c>
      <c r="I55" s="4" t="str">
        <f>"法学"</f>
        <v>法学</v>
      </c>
      <c r="J55" s="4" t="str">
        <f>"安徽科技学院"</f>
        <v>安徽科技学院</v>
      </c>
      <c r="K55" s="4" t="str">
        <f t="shared" ref="K55:K72" si="12">"大学本科"</f>
        <v>大学本科</v>
      </c>
      <c r="L55" s="4"/>
      <c r="M55" s="9">
        <v>71.733333333333306</v>
      </c>
      <c r="N55" s="8"/>
    </row>
    <row r="56" spans="1:14" s="1" customFormat="1" ht="30" customHeight="1">
      <c r="A56" s="4">
        <v>54</v>
      </c>
      <c r="B56" s="5" t="s">
        <v>57</v>
      </c>
      <c r="C56" s="4">
        <v>202303051</v>
      </c>
      <c r="D56" s="6" t="s">
        <v>16</v>
      </c>
      <c r="E56" s="4" t="str">
        <f>"202303043003"</f>
        <v>202303043003</v>
      </c>
      <c r="F56" s="4" t="str">
        <f>"任超"</f>
        <v>任超</v>
      </c>
      <c r="G56" s="4" t="str">
        <f>"1996.10"</f>
        <v>1996.10</v>
      </c>
      <c r="H56" s="4" t="str">
        <f>"男"</f>
        <v>男</v>
      </c>
      <c r="I56" s="4" t="str">
        <f>"电子商务"</f>
        <v>电子商务</v>
      </c>
      <c r="J56" s="4" t="str">
        <f>"南京财经大学红山学院"</f>
        <v>南京财经大学红山学院</v>
      </c>
      <c r="K56" s="4" t="str">
        <f t="shared" si="12"/>
        <v>大学本科</v>
      </c>
      <c r="L56" s="4"/>
      <c r="M56" s="9">
        <v>74.3</v>
      </c>
      <c r="N56" s="8"/>
    </row>
    <row r="57" spans="1:14" s="1" customFormat="1" ht="30" customHeight="1">
      <c r="A57" s="4">
        <v>55</v>
      </c>
      <c r="B57" s="5" t="s">
        <v>58</v>
      </c>
      <c r="C57" s="4">
        <v>202303052</v>
      </c>
      <c r="D57" s="4" t="s">
        <v>18</v>
      </c>
      <c r="E57" s="4" t="str">
        <f>"202303043028"</f>
        <v>202303043028</v>
      </c>
      <c r="F57" s="4" t="str">
        <f>"孙文素"</f>
        <v>孙文素</v>
      </c>
      <c r="G57" s="4" t="str">
        <f>"1997.09"</f>
        <v>1997.09</v>
      </c>
      <c r="H57" s="4" t="str">
        <f>"女"</f>
        <v>女</v>
      </c>
      <c r="I57" s="4" t="str">
        <f>"汉语言文学"</f>
        <v>汉语言文学</v>
      </c>
      <c r="J57" s="4" t="str">
        <f>"华中师范大学"</f>
        <v>华中师范大学</v>
      </c>
      <c r="K57" s="4" t="str">
        <f t="shared" si="12"/>
        <v>大学本科</v>
      </c>
      <c r="L57" s="4"/>
      <c r="M57" s="9">
        <v>70.75</v>
      </c>
      <c r="N57" s="8"/>
    </row>
    <row r="58" spans="1:14" s="1" customFormat="1" ht="30" customHeight="1">
      <c r="A58" s="4">
        <v>56</v>
      </c>
      <c r="B58" s="5" t="s">
        <v>58</v>
      </c>
      <c r="C58" s="4">
        <v>202303053</v>
      </c>
      <c r="D58" s="6" t="s">
        <v>16</v>
      </c>
      <c r="E58" s="4" t="str">
        <f>"202303044009"</f>
        <v>202303044009</v>
      </c>
      <c r="F58" s="4" t="str">
        <f>"黄文婷"</f>
        <v>黄文婷</v>
      </c>
      <c r="G58" s="4" t="str">
        <f>"1998.09"</f>
        <v>1998.09</v>
      </c>
      <c r="H58" s="4" t="str">
        <f>"女"</f>
        <v>女</v>
      </c>
      <c r="I58" s="4" t="str">
        <f>"土木水利"</f>
        <v>土木水利</v>
      </c>
      <c r="J58" s="4" t="str">
        <f>"南京工业大学"</f>
        <v>南京工业大学</v>
      </c>
      <c r="K58" s="4" t="str">
        <f>"研究生"</f>
        <v>研究生</v>
      </c>
      <c r="L58" s="4"/>
      <c r="M58" s="9">
        <v>73.599999999999994</v>
      </c>
      <c r="N58" s="8"/>
    </row>
    <row r="59" spans="1:14" s="1" customFormat="1" ht="30" customHeight="1">
      <c r="A59" s="4">
        <v>57</v>
      </c>
      <c r="B59" s="5" t="s">
        <v>59</v>
      </c>
      <c r="C59" s="4">
        <v>202303054</v>
      </c>
      <c r="D59" s="4" t="s">
        <v>18</v>
      </c>
      <c r="E59" s="4" t="str">
        <f>"202303044017"</f>
        <v>202303044017</v>
      </c>
      <c r="F59" s="4" t="str">
        <f>"夏涵"</f>
        <v>夏涵</v>
      </c>
      <c r="G59" s="4" t="str">
        <f>"1999.02"</f>
        <v>1999.02</v>
      </c>
      <c r="H59" s="4" t="str">
        <f>"女"</f>
        <v>女</v>
      </c>
      <c r="I59" s="4" t="str">
        <f>"秘书学"</f>
        <v>秘书学</v>
      </c>
      <c r="J59" s="4" t="str">
        <f>"泰州学院"</f>
        <v>泰州学院</v>
      </c>
      <c r="K59" s="4" t="str">
        <f t="shared" si="12"/>
        <v>大学本科</v>
      </c>
      <c r="L59" s="4" t="str">
        <f t="shared" ref="L59:L60" si="13">"学士"</f>
        <v>学士</v>
      </c>
      <c r="M59" s="9">
        <v>74.766666666666694</v>
      </c>
      <c r="N59" s="8"/>
    </row>
    <row r="60" spans="1:14" s="1" customFormat="1" ht="30" customHeight="1">
      <c r="A60" s="4">
        <v>58</v>
      </c>
      <c r="B60" s="5" t="s">
        <v>59</v>
      </c>
      <c r="C60" s="4">
        <v>202303057</v>
      </c>
      <c r="D60" s="6" t="s">
        <v>16</v>
      </c>
      <c r="E60" s="4" t="str">
        <f>"202303045013"</f>
        <v>202303045013</v>
      </c>
      <c r="F60" s="4" t="str">
        <f>"倪颖"</f>
        <v>倪颖</v>
      </c>
      <c r="G60" s="4" t="str">
        <f>"1998.10"</f>
        <v>1998.10</v>
      </c>
      <c r="H60" s="4" t="str">
        <f>"女"</f>
        <v>女</v>
      </c>
      <c r="I60" s="4" t="str">
        <f>"会计学"</f>
        <v>会计学</v>
      </c>
      <c r="J60" s="4" t="str">
        <f>"安徽财经大学"</f>
        <v>安徽财经大学</v>
      </c>
      <c r="K60" s="4" t="str">
        <f t="shared" si="12"/>
        <v>大学本科</v>
      </c>
      <c r="L60" s="4" t="str">
        <f t="shared" si="13"/>
        <v>学士</v>
      </c>
      <c r="M60" s="9">
        <v>70.966666666666697</v>
      </c>
      <c r="N60" s="8"/>
    </row>
    <row r="61" spans="1:14" s="1" customFormat="1" ht="30" customHeight="1">
      <c r="A61" s="4">
        <v>59</v>
      </c>
      <c r="B61" s="5" t="s">
        <v>60</v>
      </c>
      <c r="C61" s="4">
        <v>202303058</v>
      </c>
      <c r="D61" s="6" t="s">
        <v>16</v>
      </c>
      <c r="E61" s="4" t="str">
        <f>"202303046008"</f>
        <v>202303046008</v>
      </c>
      <c r="F61" s="4" t="str">
        <f>"胡振亚"</f>
        <v>胡振亚</v>
      </c>
      <c r="G61" s="4" t="str">
        <f>"1999.01"</f>
        <v>1999.01</v>
      </c>
      <c r="H61" s="4" t="str">
        <f>"男"</f>
        <v>男</v>
      </c>
      <c r="I61" s="4" t="str">
        <f>"审计学"</f>
        <v>审计学</v>
      </c>
      <c r="J61" s="4" t="str">
        <f>"安徽新华学院"</f>
        <v>安徽新华学院</v>
      </c>
      <c r="K61" s="4" t="str">
        <f t="shared" si="12"/>
        <v>大学本科</v>
      </c>
      <c r="L61" s="4"/>
      <c r="M61" s="9">
        <v>71.483333333333306</v>
      </c>
      <c r="N61" s="8"/>
    </row>
    <row r="62" spans="1:14" s="1" customFormat="1" ht="30" customHeight="1">
      <c r="A62" s="4">
        <v>60</v>
      </c>
      <c r="B62" s="5" t="s">
        <v>60</v>
      </c>
      <c r="C62" s="4">
        <v>202303060</v>
      </c>
      <c r="D62" s="6" t="s">
        <v>16</v>
      </c>
      <c r="E62" s="4" t="str">
        <f>"202303046012"</f>
        <v>202303046012</v>
      </c>
      <c r="F62" s="4" t="str">
        <f>"柏秀雯"</f>
        <v>柏秀雯</v>
      </c>
      <c r="G62" s="4" t="str">
        <f>"1998.12"</f>
        <v>1998.12</v>
      </c>
      <c r="H62" s="4" t="str">
        <f t="shared" ref="H62:H68" si="14">"女"</f>
        <v>女</v>
      </c>
      <c r="I62" s="4" t="str">
        <f>"土地资源管理"</f>
        <v>土地资源管理</v>
      </c>
      <c r="J62" s="4" t="str">
        <f>"池州学院"</f>
        <v>池州学院</v>
      </c>
      <c r="K62" s="4" t="str">
        <f t="shared" si="12"/>
        <v>大学本科</v>
      </c>
      <c r="L62" s="4"/>
      <c r="M62" s="9">
        <v>69.366666666666703</v>
      </c>
      <c r="N62" s="8"/>
    </row>
    <row r="63" spans="1:14" s="1" customFormat="1" ht="30" customHeight="1">
      <c r="A63" s="4">
        <v>61</v>
      </c>
      <c r="B63" s="5" t="s">
        <v>61</v>
      </c>
      <c r="C63" s="4">
        <v>202303061</v>
      </c>
      <c r="D63" s="6" t="s">
        <v>16</v>
      </c>
      <c r="E63" s="4" t="str">
        <f>"202303046027"</f>
        <v>202303046027</v>
      </c>
      <c r="F63" s="4" t="str">
        <f>"周怡梦"</f>
        <v>周怡梦</v>
      </c>
      <c r="G63" s="4" t="str">
        <f>"2000.04"</f>
        <v>2000.04</v>
      </c>
      <c r="H63" s="4" t="str">
        <f t="shared" si="14"/>
        <v>女</v>
      </c>
      <c r="I63" s="4" t="str">
        <f>"环境设计"</f>
        <v>环境设计</v>
      </c>
      <c r="J63" s="4" t="str">
        <f>"滁州学院"</f>
        <v>滁州学院</v>
      </c>
      <c r="K63" s="4" t="str">
        <f t="shared" si="12"/>
        <v>大学本科</v>
      </c>
      <c r="L63" s="4"/>
      <c r="M63" s="9">
        <v>71.633333333333297</v>
      </c>
      <c r="N63" s="8"/>
    </row>
    <row r="64" spans="1:14" s="1" customFormat="1" ht="30" customHeight="1">
      <c r="A64" s="4">
        <v>62</v>
      </c>
      <c r="B64" s="5" t="s">
        <v>61</v>
      </c>
      <c r="C64" s="4">
        <v>202303062</v>
      </c>
      <c r="D64" s="6" t="s">
        <v>16</v>
      </c>
      <c r="E64" s="4" t="str">
        <f>"202303047026"</f>
        <v>202303047026</v>
      </c>
      <c r="F64" s="4" t="str">
        <f>"付恬雨"</f>
        <v>付恬雨</v>
      </c>
      <c r="G64" s="4" t="str">
        <f>"1994.08"</f>
        <v>1994.08</v>
      </c>
      <c r="H64" s="4" t="str">
        <f t="shared" si="14"/>
        <v>女</v>
      </c>
      <c r="I64" s="4" t="str">
        <f>"新闻学"</f>
        <v>新闻学</v>
      </c>
      <c r="J64" s="4" t="str">
        <f>"滁州学院"</f>
        <v>滁州学院</v>
      </c>
      <c r="K64" s="4" t="str">
        <f t="shared" si="12"/>
        <v>大学本科</v>
      </c>
      <c r="L64" s="4"/>
      <c r="M64" s="9">
        <v>72.616666666666703</v>
      </c>
      <c r="N64" s="8"/>
    </row>
    <row r="65" spans="1:14" s="1" customFormat="1" ht="30" customHeight="1">
      <c r="A65" s="4">
        <v>63</v>
      </c>
      <c r="B65" s="5" t="s">
        <v>62</v>
      </c>
      <c r="C65" s="4">
        <v>202303063</v>
      </c>
      <c r="D65" s="6" t="s">
        <v>16</v>
      </c>
      <c r="E65" s="4" t="str">
        <f>"202303048006"</f>
        <v>202303048006</v>
      </c>
      <c r="F65" s="4" t="str">
        <f>"舒畅"</f>
        <v>舒畅</v>
      </c>
      <c r="G65" s="4" t="str">
        <f>"1993.12"</f>
        <v>1993.12</v>
      </c>
      <c r="H65" s="4" t="str">
        <f t="shared" si="14"/>
        <v>女</v>
      </c>
      <c r="I65" s="4" t="str">
        <f>"会计学"</f>
        <v>会计学</v>
      </c>
      <c r="J65" s="4" t="str">
        <f>"国家开放大学"</f>
        <v>国家开放大学</v>
      </c>
      <c r="K65" s="4" t="str">
        <f t="shared" si="12"/>
        <v>大学本科</v>
      </c>
      <c r="L65" s="4"/>
      <c r="M65" s="9">
        <v>71.75</v>
      </c>
      <c r="N65" s="8"/>
    </row>
    <row r="66" spans="1:14" s="1" customFormat="1" ht="30" customHeight="1">
      <c r="A66" s="4">
        <v>64</v>
      </c>
      <c r="B66" s="5" t="s">
        <v>62</v>
      </c>
      <c r="C66" s="4">
        <v>202303064</v>
      </c>
      <c r="D66" s="6" t="s">
        <v>16</v>
      </c>
      <c r="E66" s="4" t="str">
        <f>"202303048023"</f>
        <v>202303048023</v>
      </c>
      <c r="F66" s="4" t="str">
        <f>"陆心莹"</f>
        <v>陆心莹</v>
      </c>
      <c r="G66" s="4" t="str">
        <f>"1998.08"</f>
        <v>1998.08</v>
      </c>
      <c r="H66" s="4" t="str">
        <f t="shared" si="14"/>
        <v>女</v>
      </c>
      <c r="I66" s="4" t="str">
        <f>"汉语言文学（师范）"</f>
        <v>汉语言文学（师范）</v>
      </c>
      <c r="J66" s="4" t="str">
        <f>"阜阳师范大学信息工程学院"</f>
        <v>阜阳师范大学信息工程学院</v>
      </c>
      <c r="K66" s="4" t="str">
        <f t="shared" si="12"/>
        <v>大学本科</v>
      </c>
      <c r="L66" s="4"/>
      <c r="M66" s="9">
        <v>72.366666666666703</v>
      </c>
      <c r="N66" s="8"/>
    </row>
    <row r="67" spans="1:14" s="1" customFormat="1" ht="30.95" customHeight="1">
      <c r="A67" s="4">
        <v>65</v>
      </c>
      <c r="B67" s="5" t="s">
        <v>62</v>
      </c>
      <c r="C67" s="4">
        <v>202303064</v>
      </c>
      <c r="D67" s="6" t="s">
        <v>16</v>
      </c>
      <c r="E67" s="4" t="str">
        <f>"202303049005"</f>
        <v>202303049005</v>
      </c>
      <c r="F67" s="4" t="str">
        <f>"孙丽丽"</f>
        <v>孙丽丽</v>
      </c>
      <c r="G67" s="4" t="str">
        <f>"1997.06"</f>
        <v>1997.06</v>
      </c>
      <c r="H67" s="4" t="str">
        <f t="shared" si="14"/>
        <v>女</v>
      </c>
      <c r="I67" s="4" t="str">
        <f>"汉语言文学"</f>
        <v>汉语言文学</v>
      </c>
      <c r="J67" s="4" t="str">
        <f>"安徽科技学院"</f>
        <v>安徽科技学院</v>
      </c>
      <c r="K67" s="4" t="str">
        <f t="shared" si="12"/>
        <v>大学本科</v>
      </c>
      <c r="L67" s="4"/>
      <c r="M67" s="9">
        <v>72.0833333333333</v>
      </c>
      <c r="N67" s="8"/>
    </row>
    <row r="68" spans="1:14" s="1" customFormat="1" ht="30.95" customHeight="1">
      <c r="A68" s="4">
        <v>66</v>
      </c>
      <c r="B68" s="5" t="s">
        <v>62</v>
      </c>
      <c r="C68" s="4">
        <v>202303065</v>
      </c>
      <c r="D68" s="6" t="s">
        <v>16</v>
      </c>
      <c r="E68" s="4" t="str">
        <f>"202303049021"</f>
        <v>202303049021</v>
      </c>
      <c r="F68" s="4" t="str">
        <f>"侯宏钰"</f>
        <v>侯宏钰</v>
      </c>
      <c r="G68" s="4" t="str">
        <f>"1999.06"</f>
        <v>1999.06</v>
      </c>
      <c r="H68" s="4" t="str">
        <f t="shared" si="14"/>
        <v>女</v>
      </c>
      <c r="I68" s="4" t="str">
        <f>"物联网工程"</f>
        <v>物联网工程</v>
      </c>
      <c r="J68" s="4" t="str">
        <f>"安庆师范大学"</f>
        <v>安庆师范大学</v>
      </c>
      <c r="K68" s="4" t="str">
        <f t="shared" si="12"/>
        <v>大学本科</v>
      </c>
      <c r="L68" s="4"/>
      <c r="M68" s="9">
        <v>72.849999999999994</v>
      </c>
      <c r="N68" s="8"/>
    </row>
    <row r="69" spans="1:14" s="1" customFormat="1" ht="30.95" customHeight="1">
      <c r="A69" s="4">
        <v>67</v>
      </c>
      <c r="B69" s="5" t="s">
        <v>62</v>
      </c>
      <c r="C69" s="4">
        <v>202303066</v>
      </c>
      <c r="D69" s="6" t="s">
        <v>16</v>
      </c>
      <c r="E69" s="4" t="str">
        <f>"202303051004"</f>
        <v>202303051004</v>
      </c>
      <c r="F69" s="4" t="str">
        <f>"吴晓桐"</f>
        <v>吴晓桐</v>
      </c>
      <c r="G69" s="4" t="str">
        <f>"1999.01"</f>
        <v>1999.01</v>
      </c>
      <c r="H69" s="4" t="str">
        <f>"男"</f>
        <v>男</v>
      </c>
      <c r="I69" s="4" t="str">
        <f>"工程造价"</f>
        <v>工程造价</v>
      </c>
      <c r="J69" s="4" t="str">
        <f>"河海大学文天学院"</f>
        <v>河海大学文天学院</v>
      </c>
      <c r="K69" s="4" t="str">
        <f t="shared" si="12"/>
        <v>大学本科</v>
      </c>
      <c r="L69" s="4"/>
      <c r="M69" s="9">
        <v>74.816666666666706</v>
      </c>
      <c r="N69" s="8"/>
    </row>
    <row r="70" spans="1:14" s="1" customFormat="1" ht="30.95" customHeight="1">
      <c r="A70" s="4">
        <v>68</v>
      </c>
      <c r="B70" s="5" t="s">
        <v>62</v>
      </c>
      <c r="C70" s="4">
        <v>202303066</v>
      </c>
      <c r="D70" s="6" t="s">
        <v>16</v>
      </c>
      <c r="E70" s="4" t="str">
        <f>"202303050018"</f>
        <v>202303050018</v>
      </c>
      <c r="F70" s="4" t="str">
        <f>"丁炎豪"</f>
        <v>丁炎豪</v>
      </c>
      <c r="G70" s="4" t="str">
        <f>"1998.07"</f>
        <v>1998.07</v>
      </c>
      <c r="H70" s="4" t="str">
        <f>"男"</f>
        <v>男</v>
      </c>
      <c r="I70" s="4" t="str">
        <f>"工程造价"</f>
        <v>工程造价</v>
      </c>
      <c r="J70" s="4" t="str">
        <f>"铜陵学院"</f>
        <v>铜陵学院</v>
      </c>
      <c r="K70" s="4" t="str">
        <f t="shared" si="12"/>
        <v>大学本科</v>
      </c>
      <c r="L70" s="4"/>
      <c r="M70" s="9">
        <v>73.9166666666667</v>
      </c>
      <c r="N70" s="8"/>
    </row>
    <row r="71" spans="1:14" s="1" customFormat="1" ht="30.95" customHeight="1">
      <c r="A71" s="4">
        <v>69</v>
      </c>
      <c r="B71" s="5" t="s">
        <v>63</v>
      </c>
      <c r="C71" s="4">
        <v>202303068</v>
      </c>
      <c r="D71" s="4" t="s">
        <v>18</v>
      </c>
      <c r="E71" s="4" t="str">
        <f>"202303052003"</f>
        <v>202303052003</v>
      </c>
      <c r="F71" s="4" t="str">
        <f>"郭才莲"</f>
        <v>郭才莲</v>
      </c>
      <c r="G71" s="4" t="str">
        <f>"1996.06"</f>
        <v>1996.06</v>
      </c>
      <c r="H71" s="4" t="str">
        <f>"女"</f>
        <v>女</v>
      </c>
      <c r="I71" s="4" t="str">
        <f>"应用统计学"</f>
        <v>应用统计学</v>
      </c>
      <c r="J71" s="4" t="str">
        <f>"合肥师范学院"</f>
        <v>合肥师范学院</v>
      </c>
      <c r="K71" s="4" t="str">
        <f t="shared" si="12"/>
        <v>大学本科</v>
      </c>
      <c r="L71" s="4"/>
      <c r="M71" s="9">
        <v>71.816666666666706</v>
      </c>
      <c r="N71" s="8"/>
    </row>
    <row r="72" spans="1:14" s="1" customFormat="1" ht="30.95" customHeight="1">
      <c r="A72" s="4">
        <v>70</v>
      </c>
      <c r="B72" s="5" t="s">
        <v>63</v>
      </c>
      <c r="C72" s="4">
        <v>202303069</v>
      </c>
      <c r="D72" s="6" t="s">
        <v>16</v>
      </c>
      <c r="E72" s="4" t="str">
        <f>"202303052009"</f>
        <v>202303052009</v>
      </c>
      <c r="F72" s="4" t="str">
        <f>"钟世俊"</f>
        <v>钟世俊</v>
      </c>
      <c r="G72" s="4" t="str">
        <f>"1998.10"</f>
        <v>1998.10</v>
      </c>
      <c r="H72" s="4" t="str">
        <f t="shared" ref="H72:H77" si="15">"男"</f>
        <v>男</v>
      </c>
      <c r="I72" s="4" t="str">
        <f>"安全工程"</f>
        <v>安全工程</v>
      </c>
      <c r="J72" s="4" t="str">
        <f>"蚌埠学院"</f>
        <v>蚌埠学院</v>
      </c>
      <c r="K72" s="4" t="str">
        <f t="shared" si="12"/>
        <v>大学本科</v>
      </c>
      <c r="L72" s="4"/>
      <c r="M72" s="9">
        <v>71.849999999999994</v>
      </c>
      <c r="N72" s="8"/>
    </row>
    <row r="73" spans="1:14" s="1" customFormat="1" ht="30.95" customHeight="1">
      <c r="A73" s="4">
        <v>71</v>
      </c>
      <c r="B73" s="5" t="s">
        <v>64</v>
      </c>
      <c r="C73" s="4">
        <v>202303071</v>
      </c>
      <c r="D73" s="4" t="s">
        <v>18</v>
      </c>
      <c r="E73" s="4" t="str">
        <f>"202303054002"</f>
        <v>202303054002</v>
      </c>
      <c r="F73" s="4" t="str">
        <f>"赵越"</f>
        <v>赵越</v>
      </c>
      <c r="G73" s="4" t="str">
        <f>"1998.10"</f>
        <v>1998.10</v>
      </c>
      <c r="H73" s="4" t="str">
        <f t="shared" si="15"/>
        <v>男</v>
      </c>
      <c r="I73" s="4" t="str">
        <f>"汽车车身维修技术"</f>
        <v>汽车车身维修技术</v>
      </c>
      <c r="J73" s="4" t="str">
        <f>"北京交通运输职业学院"</f>
        <v>北京交通运输职业学院</v>
      </c>
      <c r="K73" s="4" t="str">
        <f>"大学专科"</f>
        <v>大学专科</v>
      </c>
      <c r="L73" s="4"/>
      <c r="M73" s="9">
        <v>72</v>
      </c>
      <c r="N73" s="8"/>
    </row>
    <row r="74" spans="1:14" s="1" customFormat="1" ht="30.95" customHeight="1">
      <c r="A74" s="4">
        <v>72</v>
      </c>
      <c r="B74" s="5" t="s">
        <v>64</v>
      </c>
      <c r="C74" s="4">
        <v>202303072</v>
      </c>
      <c r="D74" s="4" t="s">
        <v>18</v>
      </c>
      <c r="E74" s="4" t="str">
        <f>"202303054018"</f>
        <v>202303054018</v>
      </c>
      <c r="F74" s="4" t="str">
        <f>"殷韦为"</f>
        <v>殷韦为</v>
      </c>
      <c r="G74" s="4" t="str">
        <f>"1995.10"</f>
        <v>1995.10</v>
      </c>
      <c r="H74" s="4" t="str">
        <f t="shared" si="15"/>
        <v>男</v>
      </c>
      <c r="I74" s="4" t="str">
        <f>"工商管理"</f>
        <v>工商管理</v>
      </c>
      <c r="J74" s="4" t="str">
        <f>"重庆大学"</f>
        <v>重庆大学</v>
      </c>
      <c r="K74" s="4" t="str">
        <f>"大学本科"</f>
        <v>大学本科</v>
      </c>
      <c r="L74" s="4"/>
      <c r="M74" s="9">
        <v>71.5</v>
      </c>
      <c r="N74" s="8" t="s">
        <v>56</v>
      </c>
    </row>
    <row r="75" spans="1:14" s="1" customFormat="1" ht="30.95" customHeight="1">
      <c r="A75" s="4">
        <v>73</v>
      </c>
      <c r="B75" s="5" t="s">
        <v>65</v>
      </c>
      <c r="C75" s="4">
        <v>202303073</v>
      </c>
      <c r="D75" s="4" t="s">
        <v>18</v>
      </c>
      <c r="E75" s="4" t="str">
        <f>"202303055029"</f>
        <v>202303055029</v>
      </c>
      <c r="F75" s="4" t="str">
        <f>"陈子龙"</f>
        <v>陈子龙</v>
      </c>
      <c r="G75" s="4" t="str">
        <f>"2000.04"</f>
        <v>2000.04</v>
      </c>
      <c r="H75" s="4" t="str">
        <f t="shared" si="15"/>
        <v>男</v>
      </c>
      <c r="I75" s="4" t="str">
        <f>"人力资源管理"</f>
        <v>人力资源管理</v>
      </c>
      <c r="J75" s="4" t="str">
        <f>"皖江工学院"</f>
        <v>皖江工学院</v>
      </c>
      <c r="K75" s="4" t="str">
        <f>"大学本科"</f>
        <v>大学本科</v>
      </c>
      <c r="L75" s="4" t="str">
        <f>"学士"</f>
        <v>学士</v>
      </c>
      <c r="M75" s="9">
        <v>73.216666666666697</v>
      </c>
      <c r="N75" s="8"/>
    </row>
    <row r="76" spans="1:14" s="1" customFormat="1" ht="30.95" customHeight="1">
      <c r="A76" s="4">
        <v>74</v>
      </c>
      <c r="B76" s="5" t="s">
        <v>66</v>
      </c>
      <c r="C76" s="4">
        <v>202303074</v>
      </c>
      <c r="D76" s="4" t="s">
        <v>18</v>
      </c>
      <c r="E76" s="4" t="str">
        <f>"202303057012"</f>
        <v>202303057012</v>
      </c>
      <c r="F76" s="4" t="str">
        <f>"储兆雨"</f>
        <v>储兆雨</v>
      </c>
      <c r="G76" s="4" t="str">
        <f>"1994.08"</f>
        <v>1994.08</v>
      </c>
      <c r="H76" s="4" t="str">
        <f t="shared" si="15"/>
        <v>男</v>
      </c>
      <c r="I76" s="4" t="s">
        <v>67</v>
      </c>
      <c r="J76" s="4" t="s">
        <v>68</v>
      </c>
      <c r="K76" s="4" t="str">
        <f>"大学本科"</f>
        <v>大学本科</v>
      </c>
      <c r="L76" s="4"/>
      <c r="M76" s="9">
        <v>70.866666666666703</v>
      </c>
      <c r="N76" s="8" t="s">
        <v>69</v>
      </c>
    </row>
    <row r="77" spans="1:14" s="1" customFormat="1" ht="30.95" customHeight="1">
      <c r="A77" s="4">
        <v>75</v>
      </c>
      <c r="B77" s="5" t="s">
        <v>70</v>
      </c>
      <c r="C77" s="4">
        <v>202303075</v>
      </c>
      <c r="D77" s="6" t="s">
        <v>16</v>
      </c>
      <c r="E77" s="4" t="str">
        <f>"202303057015"</f>
        <v>202303057015</v>
      </c>
      <c r="F77" s="4" t="str">
        <f>"谢炜"</f>
        <v>谢炜</v>
      </c>
      <c r="G77" s="4" t="str">
        <f>"1997.05"</f>
        <v>1997.05</v>
      </c>
      <c r="H77" s="4" t="str">
        <f t="shared" si="15"/>
        <v>男</v>
      </c>
      <c r="I77" s="4" t="str">
        <f>"播音与主持艺术（英汉双语播音）"</f>
        <v>播音与主持艺术（英汉双语播音）</v>
      </c>
      <c r="J77" s="4" t="str">
        <f>"河北传媒学院"</f>
        <v>河北传媒学院</v>
      </c>
      <c r="K77" s="4" t="str">
        <f>"大学本科"</f>
        <v>大学本科</v>
      </c>
      <c r="L77" s="4" t="str">
        <f>"学士"</f>
        <v>学士</v>
      </c>
      <c r="M77" s="9">
        <v>74.62</v>
      </c>
      <c r="N77" s="8" t="s">
        <v>71</v>
      </c>
    </row>
  </sheetData>
  <sortState ref="A3:S78">
    <sortCondition ref="C3:C78"/>
    <sortCondition descending="1" ref="M3:M78"/>
  </sortState>
  <mergeCells count="1">
    <mergeCell ref="A1:N1"/>
  </mergeCells>
  <phoneticPr fontId="8" type="noConversion"/>
  <pageMargins left="0.75138888888888899" right="0.75138888888888899" top="1" bottom="1" header="0.5" footer="0.5"/>
  <pageSetup paperSize="9" scale="7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2023年度来安县事业单位公开招聘工作人员拟聘用人员名单（第一</vt:lpstr>
      <vt:lpstr>'2023年度来安县事业单位公开招聘工作人员拟聘用人员名单（第一'!Print_Titles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2023-06-02T07:32:00Z</dcterms:created>
  <dcterms:modified xsi:type="dcterms:W3CDTF">2023-07-18T02:35:55Z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1A36070795F6470299AC3CCA3CB01265_13</vt:lpwstr>
  </property>
  <property fmtid="{D5CDD505-2E9C-101B-9397-08002B2CF9AE}" pid="3" name="KSOProductBuildVer">
    <vt:lpwstr>2052-11.1.0.14309</vt:lpwstr>
  </property>
</Properties>
</file>